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SGKS\Users2\Планово-экономический отдел\План дотации\РАСКРЫТИЕ ИНФОРМАЦИИ\РИ по Э.Э ежемесячно\"/>
    </mc:Choice>
  </mc:AlternateContent>
  <bookViews>
    <workbookView xWindow="32760" yWindow="45" windowWidth="14760" windowHeight="10815" tabRatio="820"/>
  </bookViews>
  <sheets>
    <sheet name="2020" sheetId="42" r:id="rId1"/>
    <sheet name="январь" sheetId="19" r:id="rId2"/>
    <sheet name="февраль" sheetId="31" r:id="rId3"/>
    <sheet name="март" sheetId="32" r:id="rId4"/>
    <sheet name="апрель" sheetId="33" r:id="rId5"/>
    <sheet name="май" sheetId="34" r:id="rId6"/>
    <sheet name="июнь" sheetId="35" r:id="rId7"/>
    <sheet name="июль" sheetId="36" r:id="rId8"/>
    <sheet name="август" sheetId="37" r:id="rId9"/>
    <sheet name="сентябрь" sheetId="38" r:id="rId10"/>
    <sheet name="октябрь" sheetId="39" r:id="rId11"/>
    <sheet name="ноябрь" sheetId="40" r:id="rId12"/>
    <sheet name="декабрь" sheetId="41" r:id="rId13"/>
  </sheets>
  <calcPr calcId="162913"/>
</workbook>
</file>

<file path=xl/calcChain.xml><?xml version="1.0" encoding="utf-8"?>
<calcChain xmlns="http://schemas.openxmlformats.org/spreadsheetml/2006/main">
  <c r="H48" i="41" l="1"/>
  <c r="H46" i="41"/>
  <c r="H44" i="41"/>
  <c r="H39" i="41"/>
  <c r="H38" i="41"/>
  <c r="H37" i="41"/>
  <c r="H36" i="41"/>
  <c r="H32" i="41"/>
  <c r="H30" i="41"/>
  <c r="H26" i="41"/>
  <c r="H21" i="41"/>
  <c r="H20" i="41"/>
  <c r="G48" i="41" l="1"/>
  <c r="H30" i="40" l="1"/>
  <c r="H48" i="40" l="1"/>
  <c r="H46" i="40"/>
  <c r="H44" i="40"/>
  <c r="H39" i="40"/>
  <c r="H38" i="40"/>
  <c r="H37" i="40"/>
  <c r="H36" i="40"/>
  <c r="H32" i="40"/>
  <c r="H26" i="40"/>
  <c r="H21" i="40"/>
  <c r="H20" i="40"/>
  <c r="H30" i="39"/>
  <c r="H20" i="39" l="1"/>
  <c r="H48" i="39"/>
  <c r="H46" i="39"/>
  <c r="H44" i="39"/>
  <c r="H39" i="39"/>
  <c r="H38" i="39"/>
  <c r="H37" i="39"/>
  <c r="H36" i="39"/>
  <c r="H33" i="39"/>
  <c r="H32" i="39"/>
  <c r="H26" i="39"/>
  <c r="H21" i="39"/>
  <c r="G48" i="39" l="1"/>
  <c r="G48" i="33" l="1"/>
  <c r="G48" i="38"/>
  <c r="I30" i="38" l="1"/>
  <c r="I15" i="38" l="1"/>
  <c r="I20" i="38"/>
  <c r="H20" i="38"/>
  <c r="I43" i="38"/>
  <c r="I41" i="38"/>
  <c r="I32" i="38"/>
  <c r="H32" i="38"/>
  <c r="H26" i="38"/>
  <c r="I28" i="38"/>
  <c r="I19" i="38"/>
  <c r="I18" i="38"/>
  <c r="H30" i="38"/>
  <c r="I35" i="38"/>
  <c r="I16" i="38"/>
  <c r="I36" i="38"/>
  <c r="H36" i="38"/>
  <c r="I49" i="38"/>
  <c r="I38" i="38"/>
  <c r="H38" i="38"/>
  <c r="I47" i="38"/>
  <c r="I27" i="38"/>
  <c r="I39" i="38"/>
  <c r="H39" i="38"/>
  <c r="I42" i="38"/>
  <c r="I22" i="38"/>
  <c r="H37" i="38"/>
  <c r="H21" i="38"/>
  <c r="I24" i="38"/>
  <c r="I33" i="38"/>
  <c r="I44" i="38"/>
  <c r="H44" i="38"/>
  <c r="I46" i="38"/>
  <c r="H46" i="38"/>
  <c r="I48" i="38"/>
  <c r="I29" i="38"/>
  <c r="I50" i="38"/>
  <c r="G48" i="37" l="1"/>
  <c r="H46" i="37"/>
  <c r="H44" i="37"/>
  <c r="H39" i="37"/>
  <c r="H38" i="37"/>
  <c r="H37" i="37"/>
  <c r="H36" i="37"/>
  <c r="H33" i="37"/>
  <c r="H32" i="37"/>
  <c r="H30" i="37"/>
  <c r="H26" i="37"/>
  <c r="H21" i="37"/>
  <c r="H20" i="37"/>
  <c r="H48" i="36" l="1"/>
  <c r="H46" i="36"/>
  <c r="H44" i="36"/>
  <c r="H39" i="36"/>
  <c r="H38" i="36"/>
  <c r="H37" i="36"/>
  <c r="H36" i="36"/>
  <c r="H33" i="36"/>
  <c r="H32" i="36"/>
  <c r="H30" i="36"/>
  <c r="H26" i="36"/>
  <c r="H21" i="36"/>
  <c r="H20" i="36"/>
  <c r="G48" i="36"/>
  <c r="H48" i="35" l="1"/>
  <c r="H46" i="35"/>
  <c r="H44" i="35"/>
  <c r="H39" i="35"/>
  <c r="H38" i="35"/>
  <c r="H37" i="35"/>
  <c r="H36" i="35"/>
  <c r="H32" i="35"/>
  <c r="H30" i="35"/>
  <c r="H26" i="35"/>
  <c r="H21" i="35"/>
  <c r="H20" i="35"/>
  <c r="G48" i="35" l="1"/>
  <c r="H48" i="34" l="1"/>
  <c r="H46" i="34"/>
  <c r="H44" i="34"/>
  <c r="H39" i="34"/>
  <c r="H38" i="34"/>
  <c r="H37" i="34"/>
  <c r="H36" i="34"/>
  <c r="H32" i="34"/>
  <c r="H30" i="34"/>
  <c r="H26" i="34"/>
  <c r="H21" i="34"/>
  <c r="H20" i="34"/>
  <c r="G48" i="34"/>
  <c r="G16" i="42" l="1"/>
  <c r="H16" i="42"/>
  <c r="I16" i="42"/>
  <c r="G17" i="42"/>
  <c r="H17" i="42"/>
  <c r="I17" i="42"/>
  <c r="G18" i="42"/>
  <c r="H18" i="42"/>
  <c r="I18" i="42"/>
  <c r="G19" i="42"/>
  <c r="H19" i="42"/>
  <c r="I19" i="42"/>
  <c r="G20" i="42"/>
  <c r="H20" i="42"/>
  <c r="I20" i="42"/>
  <c r="G21" i="42"/>
  <c r="H21" i="42"/>
  <c r="I21" i="42"/>
  <c r="G22" i="42"/>
  <c r="H22" i="42"/>
  <c r="I22" i="42"/>
  <c r="G23" i="42"/>
  <c r="H23" i="42"/>
  <c r="I23" i="42"/>
  <c r="G24" i="42"/>
  <c r="H24" i="42"/>
  <c r="I24" i="42"/>
  <c r="G25" i="42"/>
  <c r="H25" i="42"/>
  <c r="I25" i="42"/>
  <c r="G26" i="42"/>
  <c r="H26" i="42"/>
  <c r="I26" i="42"/>
  <c r="G27" i="42"/>
  <c r="H27" i="42"/>
  <c r="I27" i="42"/>
  <c r="G28" i="42"/>
  <c r="H28" i="42"/>
  <c r="I28" i="42"/>
  <c r="G29" i="42"/>
  <c r="H29" i="42"/>
  <c r="I29" i="42"/>
  <c r="G30" i="42"/>
  <c r="H30" i="42"/>
  <c r="I30" i="42"/>
  <c r="G31" i="42"/>
  <c r="H31" i="42"/>
  <c r="I31" i="42"/>
  <c r="G32" i="42"/>
  <c r="H32" i="42"/>
  <c r="I32" i="42"/>
  <c r="G33" i="42"/>
  <c r="H33" i="42"/>
  <c r="I33" i="42"/>
  <c r="G34" i="42"/>
  <c r="H34" i="42"/>
  <c r="I34" i="42"/>
  <c r="G35" i="42"/>
  <c r="H35" i="42"/>
  <c r="I35" i="42"/>
  <c r="G36" i="42"/>
  <c r="H36" i="42"/>
  <c r="I36" i="42"/>
  <c r="G37" i="42"/>
  <c r="H37" i="42"/>
  <c r="I37" i="42"/>
  <c r="G38" i="42"/>
  <c r="H38" i="42"/>
  <c r="I38" i="42"/>
  <c r="G39" i="42"/>
  <c r="H39" i="42"/>
  <c r="I39" i="42"/>
  <c r="G40" i="42"/>
  <c r="H40" i="42"/>
  <c r="I40" i="42"/>
  <c r="G41" i="42"/>
  <c r="H41" i="42"/>
  <c r="I41" i="42"/>
  <c r="G42" i="42"/>
  <c r="H42" i="42"/>
  <c r="I42" i="42"/>
  <c r="G43" i="42"/>
  <c r="H43" i="42"/>
  <c r="I43" i="42"/>
  <c r="G44" i="42"/>
  <c r="H44" i="42"/>
  <c r="I44" i="42"/>
  <c r="G45" i="42"/>
  <c r="H45" i="42"/>
  <c r="I45" i="42"/>
  <c r="G46" i="42"/>
  <c r="H46" i="42"/>
  <c r="I46" i="42"/>
  <c r="G47" i="42"/>
  <c r="H47" i="42"/>
  <c r="I47" i="42"/>
  <c r="G48" i="42"/>
  <c r="H48" i="42"/>
  <c r="I48" i="42"/>
  <c r="G49" i="42"/>
  <c r="H49" i="42"/>
  <c r="I49" i="42"/>
  <c r="G50" i="42"/>
  <c r="H50" i="42"/>
  <c r="I50" i="42"/>
  <c r="G51" i="42"/>
  <c r="H51" i="42"/>
  <c r="I51" i="42"/>
  <c r="H15" i="42"/>
  <c r="I15" i="42"/>
  <c r="G15" i="42"/>
  <c r="I52" i="41"/>
  <c r="H52" i="41"/>
  <c r="G52" i="41"/>
  <c r="I52" i="40"/>
  <c r="H52" i="40"/>
  <c r="G52" i="40"/>
  <c r="I52" i="39"/>
  <c r="H52" i="39"/>
  <c r="G52" i="39"/>
  <c r="I52" i="38"/>
  <c r="H52" i="38"/>
  <c r="G52" i="38"/>
  <c r="I52" i="37"/>
  <c r="H52" i="37"/>
  <c r="G52" i="37"/>
  <c r="I52" i="36"/>
  <c r="H52" i="36"/>
  <c r="G52" i="36"/>
  <c r="I52" i="35"/>
  <c r="H52" i="35"/>
  <c r="G52" i="35"/>
  <c r="I52" i="34"/>
  <c r="G52" i="34"/>
  <c r="H52" i="34"/>
  <c r="I26" i="32"/>
  <c r="H26" i="32"/>
  <c r="I26" i="31"/>
  <c r="H26" i="31"/>
  <c r="I26" i="19"/>
  <c r="H26" i="19"/>
  <c r="H48" i="33"/>
  <c r="H46" i="33"/>
  <c r="H44" i="33"/>
  <c r="H39" i="33"/>
  <c r="H38" i="33"/>
  <c r="H37" i="33"/>
  <c r="H36" i="33"/>
  <c r="H32" i="33"/>
  <c r="H30" i="33"/>
  <c r="H26" i="33"/>
  <c r="H21" i="33"/>
  <c r="H20" i="33"/>
  <c r="I52" i="33"/>
  <c r="G52" i="33"/>
  <c r="H48" i="32"/>
  <c r="H46" i="32"/>
  <c r="H44" i="32"/>
  <c r="H39" i="32"/>
  <c r="H38" i="32"/>
  <c r="H37" i="32"/>
  <c r="H36" i="32"/>
  <c r="H32" i="32"/>
  <c r="H30" i="32"/>
  <c r="H23" i="32"/>
  <c r="H21" i="32"/>
  <c r="H20" i="32"/>
  <c r="I52" i="32"/>
  <c r="G52" i="32"/>
  <c r="H52" i="32"/>
  <c r="H48" i="31"/>
  <c r="H46" i="31"/>
  <c r="H44" i="31"/>
  <c r="H39" i="31"/>
  <c r="H38" i="31"/>
  <c r="H37" i="31"/>
  <c r="H36" i="31"/>
  <c r="H32" i="31"/>
  <c r="H30" i="31"/>
  <c r="H23" i="31"/>
  <c r="H21" i="31"/>
  <c r="H52" i="31" s="1"/>
  <c r="H20" i="31"/>
  <c r="I52" i="31"/>
  <c r="G52" i="31"/>
  <c r="G48" i="19"/>
  <c r="H52" i="42" l="1"/>
  <c r="I52" i="42"/>
  <c r="G52" i="42"/>
  <c r="H52" i="33"/>
  <c r="H48" i="19"/>
  <c r="H46" i="19"/>
  <c r="H44" i="19"/>
  <c r="H39" i="19"/>
  <c r="H38" i="19"/>
  <c r="H37" i="19"/>
  <c r="H36" i="19"/>
  <c r="H32" i="19"/>
  <c r="H30" i="19"/>
  <c r="H23" i="19"/>
  <c r="H21" i="19"/>
  <c r="H20" i="19"/>
  <c r="H52" i="19"/>
  <c r="I52" i="19"/>
  <c r="G52" i="19"/>
</calcChain>
</file>

<file path=xl/sharedStrings.xml><?xml version="1.0" encoding="utf-8"?>
<sst xmlns="http://schemas.openxmlformats.org/spreadsheetml/2006/main" count="1274" uniqueCount="71">
  <si>
    <t>№ п/п</t>
  </si>
  <si>
    <t>Наименование населенного пункта</t>
  </si>
  <si>
    <t>Ед. изм.</t>
  </si>
  <si>
    <t>от 21.01.2004 № 24</t>
  </si>
  <si>
    <t>Итого</t>
  </si>
  <si>
    <t>Отпущено электроэнергии за декабрь</t>
  </si>
  <si>
    <t>Отпущено электроэнергии за апрель</t>
  </si>
  <si>
    <t>Отпущено электроэнергии за март</t>
  </si>
  <si>
    <t>Отпущено электроэнергии за май</t>
  </si>
  <si>
    <t>Отпущено электроэнергии за август</t>
  </si>
  <si>
    <t>Отпущено электроэнергии за октябрь</t>
  </si>
  <si>
    <t>Отпущено электроэнергии за ноябрь</t>
  </si>
  <si>
    <t>Отпущено электроэнергии за январь</t>
  </si>
  <si>
    <t>Отпущено электроэнергии за февраль</t>
  </si>
  <si>
    <t>п. Индига</t>
  </si>
  <si>
    <t>п. Бугрино</t>
  </si>
  <si>
    <t>с. Великовисочное</t>
  </si>
  <si>
    <t>с. Коткино</t>
  </si>
  <si>
    <t>п. Каратайка</t>
  </si>
  <si>
    <t>с. Оксино</t>
  </si>
  <si>
    <t>п. Нельмин-Нос</t>
  </si>
  <si>
    <t>п. Хорей-Вер</t>
  </si>
  <si>
    <t>с. Несь</t>
  </si>
  <si>
    <t>п. Шойна</t>
  </si>
  <si>
    <t>с. Ома</t>
  </si>
  <si>
    <t>п. Амдерма</t>
  </si>
  <si>
    <t>Стандартов раскрытия информации</t>
  </si>
  <si>
    <t>субъектами оптового и розничного</t>
  </si>
  <si>
    <t>рынков электрической энергии,</t>
  </si>
  <si>
    <t>утвержденных Постановлением</t>
  </si>
  <si>
    <t>Правительства РФ</t>
  </si>
  <si>
    <t>Форма раскрытия информации гарантирующими поставщиками, энергоснабжающими и энергосбытовыми организациями о фактическом полезном отпуске электрической энергии (мощности) потребителям по тарифным группам и уровням напряжения</t>
  </si>
  <si>
    <t>ВН</t>
  </si>
  <si>
    <t>СН1</t>
  </si>
  <si>
    <t>СН2</t>
  </si>
  <si>
    <t>НН</t>
  </si>
  <si>
    <t>По тарифу для населения</t>
  </si>
  <si>
    <t>По тарифу для 
МСП, СПК</t>
  </si>
  <si>
    <t>По тарифу для прочих
 потребителей</t>
  </si>
  <si>
    <t>Приложение к пункту 45 "г", 50 "б"</t>
  </si>
  <si>
    <t>кВтч.</t>
  </si>
  <si>
    <t>д. Лабожское</t>
  </si>
  <si>
    <t>д. Пылемец</t>
  </si>
  <si>
    <t>д. Тошвиска</t>
  </si>
  <si>
    <t>д. Щелино</t>
  </si>
  <si>
    <t>п. Выучейский</t>
  </si>
  <si>
    <t>п. Варнек</t>
  </si>
  <si>
    <t>д. Андег</t>
  </si>
  <si>
    <t>д. Осколково</t>
  </si>
  <si>
    <t>д. Мгла</t>
  </si>
  <si>
    <t>д. Чижа</t>
  </si>
  <si>
    <t>д. Каменка</t>
  </si>
  <si>
    <t>п. Хонгурей</t>
  </si>
  <si>
    <t>д. Вижас</t>
  </si>
  <si>
    <t>д. Снопа</t>
  </si>
  <si>
    <t>с. Нижняя Пеша</t>
  </si>
  <si>
    <t>д. Верхняя Пеша</t>
  </si>
  <si>
    <t>д. Волоковая</t>
  </si>
  <si>
    <t>д. Белушье</t>
  </si>
  <si>
    <t>д. Волонга</t>
  </si>
  <si>
    <t>д. Кия</t>
  </si>
  <si>
    <t>д. Куя</t>
  </si>
  <si>
    <t>д. Макарово</t>
  </si>
  <si>
    <t>п. Усть-Кара</t>
  </si>
  <si>
    <t>д. Устье</t>
  </si>
  <si>
    <t>п. Харута</t>
  </si>
  <si>
    <t>х</t>
  </si>
  <si>
    <t>Отпущено электроэнергии за июнь</t>
  </si>
  <si>
    <t>Отпущено электроэнергии за июль</t>
  </si>
  <si>
    <t>Отпущено электроэнергии за сентябрь</t>
  </si>
  <si>
    <t>Отпущено электроэнергии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</si>
</sst>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/>
    <xf numFmtId="2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1" fontId="1" fillId="0" borderId="0" xfId="0" applyNumberFormat="1" applyFont="1"/>
    <xf numFmtId="3" fontId="1" fillId="0" borderId="0" xfId="0" applyNumberFormat="1" applyFo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" fontId="3" fillId="0" borderId="0" xfId="0" applyNumberFormat="1" applyFont="1"/>
    <xf numFmtId="0" fontId="4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topLeftCell="A21" workbookViewId="0">
      <selection activeCell="J46" sqref="J46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5" t="s">
        <v>39</v>
      </c>
      <c r="I1" s="15"/>
    </row>
    <row r="2" spans="1:13" x14ac:dyDescent="0.2">
      <c r="H2" s="15" t="s">
        <v>26</v>
      </c>
      <c r="I2" s="15"/>
    </row>
    <row r="3" spans="1:13" x14ac:dyDescent="0.2">
      <c r="H3" s="15" t="s">
        <v>27</v>
      </c>
      <c r="I3" s="15"/>
    </row>
    <row r="4" spans="1:13" x14ac:dyDescent="0.2">
      <c r="H4" s="15" t="s">
        <v>28</v>
      </c>
      <c r="I4" s="15"/>
    </row>
    <row r="5" spans="1:13" x14ac:dyDescent="0.2">
      <c r="H5" s="15" t="s">
        <v>29</v>
      </c>
      <c r="I5" s="15"/>
    </row>
    <row r="6" spans="1:13" x14ac:dyDescent="0.2">
      <c r="C6" s="2"/>
      <c r="D6" s="2"/>
      <c r="E6" s="2"/>
      <c r="F6" s="2"/>
      <c r="G6" s="2"/>
      <c r="H6" s="15" t="s">
        <v>30</v>
      </c>
      <c r="I6" s="15"/>
    </row>
    <row r="7" spans="1:13" x14ac:dyDescent="0.2">
      <c r="G7" s="2"/>
      <c r="H7" s="15" t="s">
        <v>3</v>
      </c>
      <c r="I7" s="15"/>
    </row>
    <row r="9" spans="1:13" ht="12.75" customHeight="1" x14ac:dyDescent="0.2">
      <c r="A9" s="17" t="s">
        <v>31</v>
      </c>
      <c r="B9" s="17"/>
      <c r="C9" s="17"/>
      <c r="D9" s="17"/>
      <c r="E9" s="17"/>
      <c r="F9" s="17"/>
      <c r="G9" s="17"/>
      <c r="H9" s="17"/>
      <c r="I9" s="17"/>
      <c r="J9" s="3"/>
    </row>
    <row r="10" spans="1:13" ht="30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3"/>
    </row>
    <row r="12" spans="1:13" x14ac:dyDescent="0.2">
      <c r="A12" s="18" t="s">
        <v>0</v>
      </c>
      <c r="B12" s="21" t="s">
        <v>1</v>
      </c>
      <c r="C12" s="22" t="s">
        <v>2</v>
      </c>
      <c r="D12" s="21" t="s">
        <v>70</v>
      </c>
      <c r="E12" s="21"/>
      <c r="F12" s="21"/>
      <c r="G12" s="21"/>
      <c r="H12" s="21"/>
      <c r="I12" s="21"/>
    </row>
    <row r="13" spans="1:13" x14ac:dyDescent="0.2">
      <c r="A13" s="19"/>
      <c r="B13" s="21"/>
      <c r="C13" s="23"/>
      <c r="D13" s="4" t="s">
        <v>32</v>
      </c>
      <c r="E13" s="4" t="s">
        <v>33</v>
      </c>
      <c r="F13" s="4" t="s">
        <v>34</v>
      </c>
      <c r="G13" s="21" t="s">
        <v>35</v>
      </c>
      <c r="H13" s="21"/>
      <c r="I13" s="21"/>
    </row>
    <row r="14" spans="1:13" ht="28.5" customHeight="1" x14ac:dyDescent="0.2">
      <c r="A14" s="20"/>
      <c r="B14" s="21"/>
      <c r="C14" s="24"/>
      <c r="D14" s="4"/>
      <c r="E14" s="4"/>
      <c r="F14" s="4"/>
      <c r="G14" s="4" t="s">
        <v>36</v>
      </c>
      <c r="H14" s="4" t="s">
        <v>37</v>
      </c>
      <c r="I14" s="4" t="s">
        <v>38</v>
      </c>
    </row>
    <row r="15" spans="1:13" ht="15.75" customHeight="1" x14ac:dyDescent="0.2">
      <c r="A15" s="5">
        <v>1</v>
      </c>
      <c r="B15" s="6" t="s">
        <v>25</v>
      </c>
      <c r="C15" s="5" t="s">
        <v>40</v>
      </c>
      <c r="D15" s="5"/>
      <c r="E15" s="5"/>
      <c r="F15" s="5"/>
      <c r="G15" s="7">
        <f>январь!G15+февраль!G15+март!G15+апрель!G15+май!G15+июнь!G15+июль!G15+август!G15+сентябрь!G15+октябрь!G15+ноябрь!G15+декабрь!G15</f>
        <v>317588</v>
      </c>
      <c r="H15" s="7">
        <f>январь!H15+февраль!H15+март!H15+апрель!H15+май!H15+июнь!H15+июль!H15+август!H15+сентябрь!H15+октябрь!H15+ноябрь!H15+декабрь!H15</f>
        <v>93006</v>
      </c>
      <c r="I15" s="7">
        <f>январь!I15+февраль!I15+март!I15+апрель!I15+май!I15+июнь!I15+июль!I15+август!I15+сентябрь!I15+октябрь!I15+ноябрь!I15+декабрь!I15</f>
        <v>446678</v>
      </c>
      <c r="J15" s="8"/>
      <c r="K15" s="9"/>
      <c r="L15" s="9"/>
      <c r="M15" s="9"/>
    </row>
    <row r="16" spans="1:13" ht="15.75" customHeight="1" x14ac:dyDescent="0.2">
      <c r="A16" s="5">
        <v>2</v>
      </c>
      <c r="B16" s="6" t="s">
        <v>47</v>
      </c>
      <c r="C16" s="5" t="s">
        <v>40</v>
      </c>
      <c r="D16" s="5"/>
      <c r="E16" s="5"/>
      <c r="F16" s="5"/>
      <c r="G16" s="7">
        <f>январь!G16+февраль!G16+март!G16+апрель!G16+май!G16+июнь!G16+июль!G16+август!G16+сентябрь!G16+октябрь!G16+ноябрь!G16+декабрь!G16</f>
        <v>201740</v>
      </c>
      <c r="H16" s="7">
        <f>январь!H16+февраль!H16+март!H16+апрель!H16+май!H16+июнь!H16+июль!H16+август!H16+сентябрь!H16+октябрь!H16+ноябрь!H16+декабрь!H16</f>
        <v>16503</v>
      </c>
      <c r="I16" s="7">
        <f>январь!I16+февраль!I16+март!I16+апрель!I16+май!I16+июнь!I16+июль!I16+август!I16+сентябрь!I16+октябрь!I16+ноябрь!I16+декабрь!I16</f>
        <v>63787</v>
      </c>
      <c r="J16" s="8"/>
      <c r="K16" s="9"/>
      <c r="L16" s="9"/>
      <c r="M16" s="9"/>
    </row>
    <row r="17" spans="1:13" ht="15.75" customHeight="1" x14ac:dyDescent="0.2">
      <c r="A17" s="5">
        <v>3</v>
      </c>
      <c r="B17" s="6" t="s">
        <v>58</v>
      </c>
      <c r="C17" s="5" t="s">
        <v>40</v>
      </c>
      <c r="D17" s="5"/>
      <c r="E17" s="5"/>
      <c r="F17" s="5"/>
      <c r="G17" s="7">
        <f>январь!G17+февраль!G17+март!G17+апрель!G17+май!G17+июнь!G17+июль!G17+август!G17+сентябрь!G17+октябрь!G17+ноябрь!G17+декабрь!G17</f>
        <v>26852</v>
      </c>
      <c r="H17" s="7">
        <f>январь!H17+февраль!H17+март!H17+апрель!H17+май!H17+июнь!H17+июль!H17+август!H17+сентябрь!H17+октябрь!H17+ноябрь!H17+декабрь!H17</f>
        <v>0</v>
      </c>
      <c r="I17" s="7">
        <f>январь!I17+февраль!I17+март!I17+апрель!I17+май!I17+июнь!I17+июль!I17+август!I17+сентябрь!I17+октябрь!I17+ноябрь!I17+декабрь!I17</f>
        <v>4046</v>
      </c>
      <c r="J17" s="8"/>
      <c r="K17" s="9"/>
      <c r="L17" s="9"/>
      <c r="M17" s="9"/>
    </row>
    <row r="18" spans="1:13" ht="15.75" customHeight="1" x14ac:dyDescent="0.2">
      <c r="A18" s="5">
        <v>4</v>
      </c>
      <c r="B18" s="6" t="s">
        <v>15</v>
      </c>
      <c r="C18" s="5" t="s">
        <v>40</v>
      </c>
      <c r="D18" s="5"/>
      <c r="E18" s="5"/>
      <c r="F18" s="5"/>
      <c r="G18" s="7">
        <f>январь!G18+февраль!G18+март!G18+апрель!G18+май!G18+июнь!G18+июль!G18+август!G18+сентябрь!G18+октябрь!G18+ноябрь!G18+декабрь!G18</f>
        <v>564013</v>
      </c>
      <c r="H18" s="7">
        <f>январь!H18+февраль!H18+март!H18+апрель!H18+май!H18+июнь!H18+июль!H18+август!H18+сентябрь!H18+октябрь!H18+ноябрь!H18+декабрь!H18</f>
        <v>28040</v>
      </c>
      <c r="I18" s="7">
        <f>январь!I18+февраль!I18+март!I18+апрель!I18+май!I18+июнь!I18+июль!I18+август!I18+сентябрь!I18+октябрь!I18+ноябрь!I18+декабрь!I18</f>
        <v>48346</v>
      </c>
      <c r="J18" s="8"/>
      <c r="K18" s="9"/>
      <c r="L18" s="9"/>
      <c r="M18" s="9"/>
    </row>
    <row r="19" spans="1:13" ht="15.75" customHeight="1" x14ac:dyDescent="0.2">
      <c r="A19" s="5">
        <v>5</v>
      </c>
      <c r="B19" s="6" t="s">
        <v>46</v>
      </c>
      <c r="C19" s="5" t="s">
        <v>40</v>
      </c>
      <c r="D19" s="5"/>
      <c r="E19" s="5"/>
      <c r="F19" s="5"/>
      <c r="G19" s="7">
        <f>январь!G19+февраль!G19+март!G19+апрель!G19+май!G19+июнь!G19+июль!G19+август!G19+сентябрь!G19+октябрь!G19+ноябрь!G19+декабрь!G19</f>
        <v>58620</v>
      </c>
      <c r="H19" s="7">
        <f>январь!H19+февраль!H19+март!H19+апрель!H19+май!H19+июнь!H19+июль!H19+август!H19+сентябрь!H19+октябрь!H19+ноябрь!H19+декабрь!H19</f>
        <v>2682</v>
      </c>
      <c r="I19" s="7">
        <f>январь!I19+февраль!I19+март!I19+апрель!I19+май!I19+июнь!I19+июль!I19+август!I19+сентябрь!I19+октябрь!I19+ноябрь!I19+декабрь!I19</f>
        <v>13942</v>
      </c>
      <c r="J19" s="8"/>
      <c r="K19" s="9"/>
      <c r="L19" s="9"/>
      <c r="M19" s="9"/>
    </row>
    <row r="20" spans="1:13" ht="15.75" customHeight="1" x14ac:dyDescent="0.2">
      <c r="A20" s="5">
        <v>6</v>
      </c>
      <c r="B20" s="6" t="s">
        <v>16</v>
      </c>
      <c r="C20" s="5" t="s">
        <v>40</v>
      </c>
      <c r="D20" s="5"/>
      <c r="E20" s="5"/>
      <c r="F20" s="5"/>
      <c r="G20" s="7">
        <f>январь!G20+февраль!G20+март!G20+апрель!G20+май!G20+июнь!G20+июль!G20+август!G20+сентябрь!G20+октябрь!G20+ноябрь!G20+декабрь!G20</f>
        <v>655121</v>
      </c>
      <c r="H20" s="7">
        <f>январь!H20+февраль!H20+март!H20+апрель!H20+май!H20+июнь!H20+июль!H20+август!H20+сентябрь!H20+октябрь!H20+ноябрь!H20+декабрь!H20</f>
        <v>345690</v>
      </c>
      <c r="I20" s="7">
        <f>январь!I20+февраль!I20+март!I20+апрель!I20+май!I20+июнь!I20+июль!I20+август!I20+сентябрь!I20+октябрь!I20+ноябрь!I20+декабрь!I20</f>
        <v>301141</v>
      </c>
      <c r="J20" s="8"/>
      <c r="K20" s="9"/>
      <c r="L20" s="9"/>
      <c r="M20" s="9"/>
    </row>
    <row r="21" spans="1:13" ht="15.75" customHeight="1" x14ac:dyDescent="0.2">
      <c r="A21" s="5">
        <v>7</v>
      </c>
      <c r="B21" s="6" t="s">
        <v>56</v>
      </c>
      <c r="C21" s="5" t="s">
        <v>40</v>
      </c>
      <c r="D21" s="5"/>
      <c r="E21" s="5"/>
      <c r="F21" s="5"/>
      <c r="G21" s="7">
        <f>январь!G21+февраль!G21+март!G21+апрель!G21+май!G21+июнь!G21+июль!G21+август!G21+сентябрь!G21+октябрь!G21+ноябрь!G21+декабрь!G21</f>
        <v>122352</v>
      </c>
      <c r="H21" s="7">
        <f>январь!H21+февраль!H21+март!H21+апрель!H21+май!H21+июнь!H21+июль!H21+август!H21+сентябрь!H21+октябрь!H21+ноябрь!H21+декабрь!H21</f>
        <v>79947</v>
      </c>
      <c r="I21" s="7">
        <f>январь!I21+февраль!I21+март!I21+апрель!I21+май!I21+июнь!I21+июль!I21+август!I21+сентябрь!I21+октябрь!I21+ноябрь!I21+декабрь!I21</f>
        <v>27428</v>
      </c>
      <c r="J21" s="8"/>
      <c r="K21" s="9"/>
      <c r="L21" s="9"/>
      <c r="M21" s="9"/>
    </row>
    <row r="22" spans="1:13" ht="15.75" customHeight="1" x14ac:dyDescent="0.2">
      <c r="A22" s="5">
        <v>8</v>
      </c>
      <c r="B22" s="6" t="s">
        <v>53</v>
      </c>
      <c r="C22" s="5" t="s">
        <v>40</v>
      </c>
      <c r="D22" s="5"/>
      <c r="E22" s="5"/>
      <c r="F22" s="5"/>
      <c r="G22" s="7">
        <f>январь!G22+февраль!G22+март!G22+апрель!G22+май!G22+июнь!G22+июль!G22+август!G22+сентябрь!G22+октябрь!G22+ноябрь!G22+декабрь!G22</f>
        <v>69773</v>
      </c>
      <c r="H22" s="7">
        <f>январь!H22+февраль!H22+март!H22+апрель!H22+май!H22+июнь!H22+июль!H22+август!H22+сентябрь!H22+октябрь!H22+ноябрь!H22+декабрь!H22</f>
        <v>4360</v>
      </c>
      <c r="I22" s="7">
        <f>январь!I22+февраль!I22+март!I22+апрель!I22+май!I22+июнь!I22+июль!I22+август!I22+сентябрь!I22+октябрь!I22+ноябрь!I22+декабрь!I22</f>
        <v>39836</v>
      </c>
      <c r="J22" s="8"/>
      <c r="K22" s="9"/>
      <c r="L22" s="9"/>
      <c r="M22" s="9"/>
    </row>
    <row r="23" spans="1:13" ht="15.75" customHeight="1" x14ac:dyDescent="0.2">
      <c r="A23" s="5">
        <v>9</v>
      </c>
      <c r="B23" s="6" t="s">
        <v>57</v>
      </c>
      <c r="C23" s="5" t="s">
        <v>40</v>
      </c>
      <c r="D23" s="5"/>
      <c r="E23" s="5"/>
      <c r="F23" s="5"/>
      <c r="G23" s="7">
        <f>январь!G23+февраль!G23+март!G23+апрель!G23+май!G23+июнь!G23+июль!G23+август!G23+сентябрь!G23+октябрь!G23+ноябрь!G23+декабрь!G23</f>
        <v>76600</v>
      </c>
      <c r="H23" s="7">
        <f>январь!H23+февраль!H23+март!H23+апрель!H23+май!H23+июнь!H23+июль!H23+август!H23+сентябрь!H23+октябрь!H23+ноябрь!H23+декабрь!H23</f>
        <v>6060</v>
      </c>
      <c r="I23" s="7">
        <f>январь!I23+февраль!I23+март!I23+апрель!I23+май!I23+июнь!I23+июль!I23+август!I23+сентябрь!I23+октябрь!I23+ноябрь!I23+декабрь!I23</f>
        <v>24730</v>
      </c>
      <c r="J23" s="8"/>
      <c r="K23" s="9"/>
      <c r="L23" s="9"/>
      <c r="M23" s="9"/>
    </row>
    <row r="24" spans="1:13" ht="15.75" customHeight="1" x14ac:dyDescent="0.2">
      <c r="A24" s="5">
        <v>10</v>
      </c>
      <c r="B24" s="6" t="s">
        <v>59</v>
      </c>
      <c r="C24" s="5" t="s">
        <v>40</v>
      </c>
      <c r="D24" s="5"/>
      <c r="E24" s="5"/>
      <c r="F24" s="5"/>
      <c r="G24" s="7">
        <f>январь!G24+февраль!G24+март!G24+апрель!G24+май!G24+июнь!G24+июль!G24+август!G24+сентябрь!G24+октябрь!G24+ноябрь!G24+декабрь!G24</f>
        <v>31878</v>
      </c>
      <c r="H24" s="7">
        <f>январь!H24+февраль!H24+март!H24+апрель!H24+май!H24+июнь!H24+июль!H24+август!H24+сентябрь!H24+октябрь!H24+ноябрь!H24+декабрь!H24</f>
        <v>7154</v>
      </c>
      <c r="I24" s="7">
        <f>январь!I24+февраль!I24+март!I24+апрель!I24+май!I24+июнь!I24+июль!I24+август!I24+сентябрь!I24+октябрь!I24+ноябрь!I24+декабрь!I24</f>
        <v>9013</v>
      </c>
      <c r="J24" s="8"/>
      <c r="K24" s="9"/>
      <c r="L24" s="9"/>
      <c r="M24" s="9"/>
    </row>
    <row r="25" spans="1:13" ht="15.75" customHeight="1" x14ac:dyDescent="0.2">
      <c r="A25" s="5">
        <v>11</v>
      </c>
      <c r="B25" s="6" t="s">
        <v>45</v>
      </c>
      <c r="C25" s="5" t="s">
        <v>40</v>
      </c>
      <c r="D25" s="5"/>
      <c r="E25" s="5"/>
      <c r="F25" s="5"/>
      <c r="G25" s="7">
        <f>январь!G25+февраль!G25+март!G25+апрель!G25+май!G25+июнь!G25+июль!G25+август!G25+сентябрь!G25+октябрь!G25+ноябрь!G25+декабрь!G25</f>
        <v>126570</v>
      </c>
      <c r="H25" s="7">
        <f>январь!H25+февраль!H25+март!H25+апрель!H25+май!H25+июнь!H25+июль!H25+август!H25+сентябрь!H25+октябрь!H25+ноябрь!H25+декабрь!H25</f>
        <v>0</v>
      </c>
      <c r="I25" s="7">
        <f>январь!I25+февраль!I25+март!I25+апрель!I25+май!I25+июнь!I25+июль!I25+август!I25+сентябрь!I25+октябрь!I25+ноябрь!I25+декабрь!I25</f>
        <v>32825</v>
      </c>
      <c r="J25" s="8"/>
      <c r="K25" s="9"/>
      <c r="L25" s="9"/>
      <c r="M25" s="9"/>
    </row>
    <row r="26" spans="1:13" ht="15.75" customHeight="1" x14ac:dyDescent="0.2">
      <c r="A26" s="5">
        <v>12</v>
      </c>
      <c r="B26" s="6" t="s">
        <v>14</v>
      </c>
      <c r="C26" s="5" t="s">
        <v>40</v>
      </c>
      <c r="D26" s="5"/>
      <c r="E26" s="5"/>
      <c r="F26" s="5"/>
      <c r="G26" s="7">
        <f>январь!G26+февраль!G26+март!G26+апрель!G26+май!G26+июнь!G26+июль!G26+август!G26+сентябрь!G26+октябрь!G26+ноябрь!G26+декабрь!G26</f>
        <v>761618</v>
      </c>
      <c r="H26" s="7">
        <f>январь!H26+февраль!H26+март!H26+апрель!H26+май!H26+июнь!H26+июль!H26+август!H26+сентябрь!H26+октябрь!H26+ноябрь!H26+декабрь!H26</f>
        <v>113300</v>
      </c>
      <c r="I26" s="7">
        <f>январь!I26+февраль!I26+март!I26+апрель!I26+май!I26+июнь!I26+июль!I26+август!I26+сентябрь!I26+октябрь!I26+ноябрь!I26+декабрь!I26</f>
        <v>211958</v>
      </c>
      <c r="J26" s="8"/>
      <c r="K26" s="9"/>
      <c r="L26" s="9"/>
      <c r="M26" s="9"/>
    </row>
    <row r="27" spans="1:13" ht="15.75" customHeight="1" x14ac:dyDescent="0.2">
      <c r="A27" s="5">
        <v>13</v>
      </c>
      <c r="B27" s="6" t="s">
        <v>51</v>
      </c>
      <c r="C27" s="5" t="s">
        <v>40</v>
      </c>
      <c r="D27" s="5"/>
      <c r="E27" s="5"/>
      <c r="F27" s="5"/>
      <c r="G27" s="7">
        <f>январь!G27+февраль!G27+март!G27+апрель!G27+май!G27+июнь!G27+июль!G27+август!G27+сентябрь!G27+октябрь!G27+ноябрь!G27+декабрь!G27</f>
        <v>134401</v>
      </c>
      <c r="H27" s="7">
        <f>январь!H27+февраль!H27+март!H27+апрель!H27+май!H27+июнь!H27+июль!H27+август!H27+сентябрь!H27+октябрь!H27+ноябрь!H27+декабрь!H27</f>
        <v>11279</v>
      </c>
      <c r="I27" s="7">
        <f>январь!I27+февраль!I27+март!I27+апрель!I27+май!I27+июнь!I27+июль!I27+август!I27+сентябрь!I27+октябрь!I27+ноябрь!I27+декабрь!I27</f>
        <v>27583</v>
      </c>
      <c r="J27" s="8"/>
      <c r="K27" s="9"/>
      <c r="L27" s="9"/>
      <c r="M27" s="9"/>
    </row>
    <row r="28" spans="1:13" ht="15.75" customHeight="1" x14ac:dyDescent="0.2">
      <c r="A28" s="5">
        <v>14</v>
      </c>
      <c r="B28" s="6" t="s">
        <v>18</v>
      </c>
      <c r="C28" s="5" t="s">
        <v>40</v>
      </c>
      <c r="D28" s="5"/>
      <c r="E28" s="5"/>
      <c r="F28" s="5"/>
      <c r="G28" s="7">
        <f>январь!G28+февраль!G28+март!G28+апрель!G28+май!G28+июнь!G28+июль!G28+август!G28+сентябрь!G28+октябрь!G28+ноябрь!G28+декабрь!G28</f>
        <v>666125</v>
      </c>
      <c r="H28" s="7">
        <f>январь!H28+февраль!H28+март!H28+апрель!H28+май!H28+июнь!H28+июль!H28+август!H28+сентябрь!H28+октябрь!H28+ноябрь!H28+декабрь!H28</f>
        <v>37470</v>
      </c>
      <c r="I28" s="7">
        <f>январь!I28+февраль!I28+март!I28+апрель!I28+май!I28+июнь!I28+июль!I28+август!I28+сентябрь!I28+октябрь!I28+ноябрь!I28+декабрь!I28</f>
        <v>154939</v>
      </c>
      <c r="J28" s="8"/>
      <c r="K28" s="9"/>
      <c r="L28" s="9"/>
      <c r="M28" s="9"/>
    </row>
    <row r="29" spans="1:13" ht="15.75" customHeight="1" x14ac:dyDescent="0.2">
      <c r="A29" s="5">
        <v>15</v>
      </c>
      <c r="B29" s="10" t="s">
        <v>60</v>
      </c>
      <c r="C29" s="5" t="s">
        <v>40</v>
      </c>
      <c r="D29" s="5"/>
      <c r="E29" s="5"/>
      <c r="F29" s="5"/>
      <c r="G29" s="7">
        <f>январь!G29+февраль!G29+март!G29+апрель!G29+май!G29+июнь!G29+июль!G29+август!G29+сентябрь!G29+октябрь!G29+ноябрь!G29+декабрь!G29</f>
        <v>59331</v>
      </c>
      <c r="H29" s="7">
        <f>январь!H29+февраль!H29+март!H29+апрель!H29+май!H29+июнь!H29+июль!H29+август!H29+сентябрь!H29+октябрь!H29+ноябрь!H29+декабрь!H29</f>
        <v>1161</v>
      </c>
      <c r="I29" s="7">
        <f>январь!I29+февраль!I29+март!I29+апрель!I29+май!I29+июнь!I29+июль!I29+август!I29+сентябрь!I29+октябрь!I29+ноябрь!I29+декабрь!I29</f>
        <v>9747</v>
      </c>
      <c r="J29" s="8"/>
      <c r="K29" s="9"/>
      <c r="L29" s="9"/>
      <c r="M29" s="9"/>
    </row>
    <row r="30" spans="1:13" ht="15.75" customHeight="1" x14ac:dyDescent="0.2">
      <c r="A30" s="5">
        <v>16</v>
      </c>
      <c r="B30" s="10" t="s">
        <v>17</v>
      </c>
      <c r="C30" s="5" t="s">
        <v>40</v>
      </c>
      <c r="D30" s="5"/>
      <c r="E30" s="5"/>
      <c r="F30" s="5"/>
      <c r="G30" s="7">
        <f>январь!G30+февраль!G30+март!G30+апрель!G30+май!G30+июнь!G30+июль!G30+август!G30+сентябрь!G30+октябрь!G30+ноябрь!G30+декабрь!G30</f>
        <v>669580</v>
      </c>
      <c r="H30" s="7">
        <f>январь!H30+февраль!H30+март!H30+апрель!H30+май!H30+июнь!H30+июль!H30+август!H30+сентябрь!H30+октябрь!H30+ноябрь!H30+декабрь!H30</f>
        <v>482814</v>
      </c>
      <c r="I30" s="7">
        <f>январь!I30+февраль!I30+март!I30+апрель!I30+май!I30+июнь!I30+июль!I30+август!I30+сентябрь!I30+октябрь!I30+ноябрь!I30+декабрь!I30</f>
        <v>134023</v>
      </c>
      <c r="J30" s="8"/>
      <c r="K30" s="9"/>
      <c r="L30" s="9"/>
      <c r="M30" s="9"/>
    </row>
    <row r="31" spans="1:13" ht="15.75" customHeight="1" x14ac:dyDescent="0.2">
      <c r="A31" s="5">
        <v>17</v>
      </c>
      <c r="B31" s="10" t="s">
        <v>61</v>
      </c>
      <c r="C31" s="5" t="s">
        <v>40</v>
      </c>
      <c r="D31" s="5"/>
      <c r="E31" s="5"/>
      <c r="F31" s="5"/>
      <c r="G31" s="7">
        <f>январь!G31+февраль!G31+март!G31+апрель!G31+май!G31+июнь!G31+июль!G31+август!G31+сентябрь!G31+октябрь!G31+ноябрь!G31+декабрь!G31</f>
        <v>124201</v>
      </c>
      <c r="H31" s="7">
        <f>январь!H31+февраль!H31+март!H31+апрель!H31+май!H31+июнь!H31+июль!H31+август!H31+сентябрь!H31+октябрь!H31+ноябрь!H31+декабрь!H31</f>
        <v>3074</v>
      </c>
      <c r="I31" s="7">
        <f>январь!I31+февраль!I31+март!I31+апрель!I31+май!I31+июнь!I31+июль!I31+август!I31+сентябрь!I31+октябрь!I31+ноябрь!I31+декабрь!I31</f>
        <v>12556</v>
      </c>
      <c r="J31" s="8"/>
      <c r="K31" s="9"/>
      <c r="L31" s="9"/>
      <c r="M31" s="9"/>
    </row>
    <row r="32" spans="1:13" ht="15.75" customHeight="1" x14ac:dyDescent="0.2">
      <c r="A32" s="5">
        <v>18</v>
      </c>
      <c r="B32" s="6" t="s">
        <v>41</v>
      </c>
      <c r="C32" s="5" t="s">
        <v>40</v>
      </c>
      <c r="D32" s="5"/>
      <c r="E32" s="5"/>
      <c r="F32" s="5"/>
      <c r="G32" s="7">
        <f>январь!G32+февраль!G32+март!G32+апрель!G32+май!G32+июнь!G32+июль!G32+август!G32+сентябрь!G32+октябрь!G32+ноябрь!G32+декабрь!G32</f>
        <v>323871</v>
      </c>
      <c r="H32" s="7">
        <f>январь!H32+февраль!H32+март!H32+апрель!H32+май!H32+июнь!H32+июль!H32+август!H32+сентябрь!H32+октябрь!H32+ноябрь!H32+декабрь!H32</f>
        <v>222560</v>
      </c>
      <c r="I32" s="7">
        <f>январь!I32+февраль!I32+март!I32+апрель!I32+май!I32+июнь!I32+июль!I32+август!I32+сентябрь!I32+октябрь!I32+ноябрь!I32+декабрь!I32</f>
        <v>59152</v>
      </c>
      <c r="J32" s="8"/>
      <c r="K32" s="9"/>
      <c r="L32" s="9"/>
      <c r="M32" s="9"/>
    </row>
    <row r="33" spans="1:13" ht="15.75" customHeight="1" x14ac:dyDescent="0.2">
      <c r="A33" s="5">
        <v>19</v>
      </c>
      <c r="B33" s="6" t="s">
        <v>62</v>
      </c>
      <c r="C33" s="5" t="s">
        <v>40</v>
      </c>
      <c r="D33" s="5"/>
      <c r="E33" s="5"/>
      <c r="F33" s="5"/>
      <c r="G33" s="7">
        <f>январь!G33+февраль!G33+март!G33+апрель!G33+май!G33+июнь!G33+июль!G33+август!G33+сентябрь!G33+октябрь!G33+ноябрь!G33+декабрь!G33</f>
        <v>143423</v>
      </c>
      <c r="H33" s="7">
        <f>январь!H33+февраль!H33+март!H33+апрель!H33+май!H33+июнь!H33+июль!H33+август!H33+сентябрь!H33+октябрь!H33+ноябрь!H33+декабрь!H33</f>
        <v>1657</v>
      </c>
      <c r="I33" s="7">
        <f>январь!I33+февраль!I33+март!I33+апрель!I33+май!I33+июнь!I33+июль!I33+август!I33+сентябрь!I33+октябрь!I33+ноябрь!I33+декабрь!I33</f>
        <v>39868</v>
      </c>
      <c r="J33" s="8"/>
      <c r="K33" s="9"/>
      <c r="L33" s="9"/>
      <c r="M33" s="9"/>
    </row>
    <row r="34" spans="1:13" ht="15.75" customHeight="1" x14ac:dyDescent="0.2">
      <c r="A34" s="5">
        <v>20</v>
      </c>
      <c r="B34" s="6" t="s">
        <v>49</v>
      </c>
      <c r="C34" s="5" t="s">
        <v>40</v>
      </c>
      <c r="D34" s="5"/>
      <c r="E34" s="5"/>
      <c r="F34" s="5"/>
      <c r="G34" s="7">
        <f>январь!G34+февраль!G34+март!G34+апрель!G34+май!G34+июнь!G34+июль!G34+август!G34+сентябрь!G34+октябрь!G34+ноябрь!G34+декабрь!G34</f>
        <v>9817</v>
      </c>
      <c r="H34" s="7">
        <f>январь!H34+февраль!H34+март!H34+апрель!H34+май!H34+июнь!H34+июль!H34+август!H34+сентябрь!H34+октябрь!H34+ноябрь!H34+декабрь!H34</f>
        <v>0</v>
      </c>
      <c r="I34" s="7">
        <f>январь!I34+февраль!I34+март!I34+апрель!I34+май!I34+июнь!I34+июль!I34+август!I34+сентябрь!I34+октябрь!I34+ноябрь!I34+декабрь!I34</f>
        <v>1620</v>
      </c>
      <c r="J34" s="8"/>
      <c r="K34" s="9"/>
      <c r="L34" s="9"/>
      <c r="M34" s="9"/>
    </row>
    <row r="35" spans="1:13" ht="15.75" customHeight="1" x14ac:dyDescent="0.2">
      <c r="A35" s="5">
        <v>21</v>
      </c>
      <c r="B35" s="6" t="s">
        <v>20</v>
      </c>
      <c r="C35" s="5" t="s">
        <v>40</v>
      </c>
      <c r="D35" s="5"/>
      <c r="E35" s="5"/>
      <c r="F35" s="5"/>
      <c r="G35" s="7">
        <f>январь!G35+февраль!G35+март!G35+апрель!G35+май!G35+июнь!G35+июль!G35+август!G35+сентябрь!G35+октябрь!G35+ноябрь!G35+декабрь!G35</f>
        <v>715769</v>
      </c>
      <c r="H35" s="7">
        <f>январь!H35+февраль!H35+март!H35+апрель!H35+май!H35+июнь!H35+июль!H35+август!H35+сентябрь!H35+октябрь!H35+ноябрь!H35+декабрь!H35</f>
        <v>63015</v>
      </c>
      <c r="I35" s="7">
        <f>январь!I35+февраль!I35+март!I35+апрель!I35+май!I35+июнь!I35+июль!I35+август!I35+сентябрь!I35+октябрь!I35+ноябрь!I35+декабрь!I35</f>
        <v>138361</v>
      </c>
      <c r="J35" s="8"/>
      <c r="K35" s="9"/>
      <c r="L35" s="9"/>
      <c r="M35" s="9"/>
    </row>
    <row r="36" spans="1:13" ht="15.75" customHeight="1" x14ac:dyDescent="0.2">
      <c r="A36" s="5">
        <v>22</v>
      </c>
      <c r="B36" s="6" t="s">
        <v>22</v>
      </c>
      <c r="C36" s="5" t="s">
        <v>40</v>
      </c>
      <c r="D36" s="5"/>
      <c r="E36" s="5"/>
      <c r="F36" s="5"/>
      <c r="G36" s="7">
        <f>январь!G36+февраль!G36+март!G36+апрель!G36+май!G36+июнь!G36+июль!G36+август!G36+сентябрь!G36+октябрь!G36+ноябрь!G36+декабрь!G36</f>
        <v>1063358</v>
      </c>
      <c r="H36" s="7">
        <f>январь!H36+февраль!H36+март!H36+апрель!H36+май!H36+июнь!H36+июль!H36+август!H36+сентябрь!H36+октябрь!H36+ноябрь!H36+декабрь!H36</f>
        <v>240844</v>
      </c>
      <c r="I36" s="7">
        <f>январь!I36+февраль!I36+март!I36+апрель!I36+май!I36+июнь!I36+июль!I36+август!I36+сентябрь!I36+октябрь!I36+ноябрь!I36+декабрь!I36</f>
        <v>289706</v>
      </c>
      <c r="J36" s="8"/>
      <c r="K36" s="9"/>
      <c r="L36" s="9"/>
      <c r="M36" s="9"/>
    </row>
    <row r="37" spans="1:13" ht="15.75" customHeight="1" x14ac:dyDescent="0.2">
      <c r="A37" s="5">
        <v>23</v>
      </c>
      <c r="B37" s="6" t="s">
        <v>55</v>
      </c>
      <c r="C37" s="5" t="s">
        <v>40</v>
      </c>
      <c r="D37" s="5"/>
      <c r="E37" s="5"/>
      <c r="F37" s="5"/>
      <c r="G37" s="7">
        <f>январь!G37+февраль!G37+март!G37+апрель!G37+май!G37+июнь!G37+июль!G37+август!G37+сентябрь!G37+октябрь!G37+ноябрь!G37+декабрь!G37</f>
        <v>832803</v>
      </c>
      <c r="H37" s="7">
        <f>январь!H37+февраль!H37+март!H37+апрель!H37+май!H37+июнь!H37+июль!H37+август!H37+сентябрь!H37+октябрь!H37+ноябрь!H37+декабрь!H37</f>
        <v>183734</v>
      </c>
      <c r="I37" s="7">
        <f>январь!I37+февраль!I37+март!I37+апрель!I37+май!I37+июнь!I37+июль!I37+август!I37+сентябрь!I37+октябрь!I37+ноябрь!I37+декабрь!I37</f>
        <v>757684</v>
      </c>
      <c r="J37" s="8"/>
      <c r="K37" s="9"/>
      <c r="L37" s="9"/>
      <c r="M37" s="9"/>
    </row>
    <row r="38" spans="1:13" ht="15.75" customHeight="1" x14ac:dyDescent="0.2">
      <c r="A38" s="5">
        <v>24</v>
      </c>
      <c r="B38" s="6" t="s">
        <v>19</v>
      </c>
      <c r="C38" s="5" t="s">
        <v>40</v>
      </c>
      <c r="D38" s="5"/>
      <c r="E38" s="5"/>
      <c r="F38" s="5"/>
      <c r="G38" s="7">
        <f>январь!G38+февраль!G38+март!G38+апрель!G38+май!G38+июнь!G38+июль!G38+август!G38+сентябрь!G38+октябрь!G38+ноябрь!G38+декабрь!G38</f>
        <v>405113</v>
      </c>
      <c r="H38" s="7">
        <f>январь!H38+февраль!H38+март!H38+апрель!H38+май!H38+июнь!H38+июль!H38+август!H38+сентябрь!H38+октябрь!H38+ноябрь!H38+декабрь!H38</f>
        <v>224878</v>
      </c>
      <c r="I38" s="7">
        <f>январь!I38+февраль!I38+март!I38+апрель!I38+май!I38+июнь!I38+июль!I38+август!I38+сентябрь!I38+октябрь!I38+ноябрь!I38+декабрь!I38</f>
        <v>161777</v>
      </c>
      <c r="J38" s="8"/>
      <c r="K38" s="9"/>
      <c r="L38" s="9"/>
      <c r="M38" s="9"/>
    </row>
    <row r="39" spans="1:13" ht="15.75" customHeight="1" x14ac:dyDescent="0.2">
      <c r="A39" s="5">
        <v>25</v>
      </c>
      <c r="B39" s="6" t="s">
        <v>24</v>
      </c>
      <c r="C39" s="5" t="s">
        <v>40</v>
      </c>
      <c r="D39" s="5"/>
      <c r="E39" s="5"/>
      <c r="F39" s="5"/>
      <c r="G39" s="7">
        <f>январь!G39+февраль!G39+март!G39+апрель!G39+май!G39+июнь!G39+июль!G39+август!G39+сентябрь!G39+октябрь!G39+ноябрь!G39+декабрь!G39</f>
        <v>987225</v>
      </c>
      <c r="H39" s="7">
        <f>январь!H39+февраль!H39+март!H39+апрель!H39+май!H39+июнь!H39+июль!H39+август!H39+сентябрь!H39+октябрь!H39+ноябрь!H39+декабрь!H39</f>
        <v>222396</v>
      </c>
      <c r="I39" s="7">
        <f>январь!I39+февраль!I39+март!I39+апрель!I39+май!I39+июнь!I39+июль!I39+август!I39+сентябрь!I39+октябрь!I39+ноябрь!I39+декабрь!I39</f>
        <v>281406</v>
      </c>
      <c r="J39" s="8"/>
      <c r="K39" s="9"/>
      <c r="L39" s="9"/>
      <c r="M39" s="9"/>
    </row>
    <row r="40" spans="1:13" ht="15.75" customHeight="1" x14ac:dyDescent="0.2">
      <c r="A40" s="5">
        <v>26</v>
      </c>
      <c r="B40" s="6" t="s">
        <v>48</v>
      </c>
      <c r="C40" s="5" t="s">
        <v>40</v>
      </c>
      <c r="D40" s="5"/>
      <c r="E40" s="5"/>
      <c r="F40" s="5"/>
      <c r="G40" s="7">
        <f>январь!G40+февраль!G40+март!G40+апрель!G40+май!G40+июнь!G40+июль!G40+август!G40+сентябрь!G40+октябрь!G40+ноябрь!G40+декабрь!G40</f>
        <v>21065</v>
      </c>
      <c r="H40" s="7">
        <f>январь!H40+февраль!H40+март!H40+апрель!H40+май!H40+июнь!H40+июль!H40+август!H40+сентябрь!H40+октябрь!H40+ноябрь!H40+декабрь!H40</f>
        <v>0</v>
      </c>
      <c r="I40" s="7">
        <f>январь!I40+февраль!I40+март!I40+апрель!I40+май!I40+июнь!I40+июль!I40+август!I40+сентябрь!I40+октябрь!I40+ноябрь!I40+декабрь!I40</f>
        <v>3031</v>
      </c>
      <c r="J40" s="8"/>
      <c r="K40" s="9"/>
      <c r="L40" s="9"/>
      <c r="M40" s="9"/>
    </row>
    <row r="41" spans="1:13" ht="15.75" customHeight="1" x14ac:dyDescent="0.2">
      <c r="A41" s="5">
        <v>27</v>
      </c>
      <c r="B41" s="6" t="s">
        <v>42</v>
      </c>
      <c r="C41" s="5" t="s">
        <v>40</v>
      </c>
      <c r="D41" s="5"/>
      <c r="E41" s="5"/>
      <c r="F41" s="5"/>
      <c r="G41" s="7">
        <f>январь!G41+февраль!G41+март!G41+апрель!G41+май!G41+июнь!G41+июль!G41+август!G41+сентябрь!G41+октябрь!G41+ноябрь!G41+декабрь!G41</f>
        <v>139413</v>
      </c>
      <c r="H41" s="7">
        <f>январь!H41+февраль!H41+март!H41+апрель!H41+май!H41+июнь!H41+июль!H41+август!H41+сентябрь!H41+октябрь!H41+ноябрь!H41+декабрь!H41</f>
        <v>7991</v>
      </c>
      <c r="I41" s="7">
        <f>январь!I41+февраль!I41+март!I41+апрель!I41+май!I41+июнь!I41+июль!I41+август!I41+сентябрь!I41+октябрь!I41+ноябрь!I41+декабрь!I41</f>
        <v>26862</v>
      </c>
      <c r="J41" s="8"/>
      <c r="K41" s="9"/>
      <c r="L41" s="9"/>
      <c r="M41" s="9"/>
    </row>
    <row r="42" spans="1:13" ht="15.75" customHeight="1" x14ac:dyDescent="0.2">
      <c r="A42" s="5">
        <v>28</v>
      </c>
      <c r="B42" s="6" t="s">
        <v>54</v>
      </c>
      <c r="C42" s="5" t="s">
        <v>40</v>
      </c>
      <c r="D42" s="5"/>
      <c r="E42" s="5"/>
      <c r="F42" s="5"/>
      <c r="G42" s="7">
        <f>январь!G42+февраль!G42+март!G42+апрель!G42+май!G42+июнь!G42+июль!G42+август!G42+сентябрь!G42+октябрь!G42+ноябрь!G42+декабрь!G42</f>
        <v>75932</v>
      </c>
      <c r="H42" s="7">
        <f>январь!H42+февраль!H42+март!H42+апрель!H42+май!H42+июнь!H42+июль!H42+август!H42+сентябрь!H42+октябрь!H42+ноябрь!H42+декабрь!H42</f>
        <v>21445</v>
      </c>
      <c r="I42" s="7">
        <f>январь!I42+февраль!I42+март!I42+апрель!I42+май!I42+июнь!I42+июль!I42+август!I42+сентябрь!I42+октябрь!I42+ноябрь!I42+декабрь!I42</f>
        <v>21398</v>
      </c>
      <c r="J42" s="8"/>
      <c r="K42" s="9"/>
      <c r="L42" s="9"/>
      <c r="M42" s="9"/>
    </row>
    <row r="43" spans="1:13" ht="15.75" customHeight="1" x14ac:dyDescent="0.2">
      <c r="A43" s="5">
        <v>29</v>
      </c>
      <c r="B43" s="6" t="s">
        <v>43</v>
      </c>
      <c r="C43" s="5" t="s">
        <v>40</v>
      </c>
      <c r="D43" s="5"/>
      <c r="E43" s="5"/>
      <c r="F43" s="5"/>
      <c r="G43" s="7">
        <f>январь!G43+февраль!G43+март!G43+апрель!G43+май!G43+июнь!G43+июль!G43+август!G43+сентябрь!G43+октябрь!G43+ноябрь!G43+декабрь!G43</f>
        <v>71827</v>
      </c>
      <c r="H43" s="7">
        <f>январь!H43+февраль!H43+март!H43+апрель!H43+май!H43+июнь!H43+июль!H43+август!H43+сентябрь!H43+октябрь!H43+ноябрь!H43+декабрь!H43</f>
        <v>290</v>
      </c>
      <c r="I43" s="7">
        <f>январь!I43+февраль!I43+март!I43+апрель!I43+май!I43+июнь!I43+июль!I43+август!I43+сентябрь!I43+октябрь!I43+ноябрь!I43+декабрь!I43</f>
        <v>22719</v>
      </c>
      <c r="J43" s="8"/>
      <c r="K43" s="9"/>
      <c r="L43" s="9"/>
      <c r="M43" s="9"/>
    </row>
    <row r="44" spans="1:13" ht="15.75" customHeight="1" x14ac:dyDescent="0.2">
      <c r="A44" s="5">
        <v>30</v>
      </c>
      <c r="B44" s="6" t="s">
        <v>63</v>
      </c>
      <c r="C44" s="5" t="s">
        <v>40</v>
      </c>
      <c r="D44" s="5"/>
      <c r="E44" s="5"/>
      <c r="F44" s="5"/>
      <c r="G44" s="7">
        <f>январь!G44+февраль!G44+март!G44+апрель!G44+май!G44+июнь!G44+июль!G44+август!G44+сентябрь!G44+октябрь!G44+ноябрь!G44+декабрь!G44</f>
        <v>357646</v>
      </c>
      <c r="H44" s="7">
        <f>январь!H44+февраль!H44+март!H44+апрель!H44+май!H44+июнь!H44+июль!H44+август!H44+сентябрь!H44+октябрь!H44+ноябрь!H44+декабрь!H44</f>
        <v>51401</v>
      </c>
      <c r="I44" s="7">
        <f>январь!I44+февраль!I44+март!I44+апрель!I44+май!I44+июнь!I44+июль!I44+август!I44+сентябрь!I44+октябрь!I44+ноябрь!I44+декабрь!I44</f>
        <v>151140</v>
      </c>
      <c r="J44" s="8"/>
      <c r="K44" s="9"/>
      <c r="L44" s="9"/>
      <c r="M44" s="9"/>
    </row>
    <row r="45" spans="1:13" ht="15.75" customHeight="1" x14ac:dyDescent="0.2">
      <c r="A45" s="5">
        <v>31</v>
      </c>
      <c r="B45" s="6" t="s">
        <v>64</v>
      </c>
      <c r="C45" s="5" t="s">
        <v>40</v>
      </c>
      <c r="D45" s="5"/>
      <c r="E45" s="5"/>
      <c r="F45" s="5"/>
      <c r="G45" s="7">
        <f>январь!G45+февраль!G45+март!G45+апрель!G45+май!G45+июнь!G45+июль!G45+август!G45+сентябрь!G45+октябрь!G45+ноябрь!G45+декабрь!G45</f>
        <v>18156</v>
      </c>
      <c r="H45" s="7">
        <f>январь!H45+февраль!H45+март!H45+апрель!H45+май!H45+июнь!H45+июль!H45+август!H45+сентябрь!H45+октябрь!H45+ноябрь!H45+декабрь!H45</f>
        <v>0</v>
      </c>
      <c r="I45" s="7">
        <f>январь!I45+февраль!I45+март!I45+апрель!I45+май!I45+июнь!I45+июль!I45+август!I45+сентябрь!I45+октябрь!I45+ноябрь!I45+декабрь!I45</f>
        <v>4603</v>
      </c>
      <c r="J45" s="8"/>
      <c r="K45" s="9"/>
      <c r="L45" s="9"/>
      <c r="M45" s="9"/>
    </row>
    <row r="46" spans="1:13" ht="15.75" customHeight="1" x14ac:dyDescent="0.2">
      <c r="A46" s="5">
        <v>32</v>
      </c>
      <c r="B46" s="10" t="s">
        <v>65</v>
      </c>
      <c r="C46" s="5" t="s">
        <v>40</v>
      </c>
      <c r="D46" s="5"/>
      <c r="E46" s="5"/>
      <c r="F46" s="5"/>
      <c r="G46" s="7">
        <f>январь!G46+февраль!G46+март!G46+апрель!G46+май!G46+июнь!G46+июль!G46+август!G46+сентябрь!G46+октябрь!G46+ноябрь!G46+декабрь!G46</f>
        <v>630669</v>
      </c>
      <c r="H46" s="7">
        <f>январь!H46+февраль!H46+март!H46+апрель!H46+май!H46+июнь!H46+июль!H46+август!H46+сентябрь!H46+октябрь!H46+ноябрь!H46+декабрь!H46</f>
        <v>81747</v>
      </c>
      <c r="I46" s="7">
        <f>январь!I46+февраль!I46+март!I46+апрель!I46+май!I46+июнь!I46+июль!I46+август!I46+сентябрь!I46+октябрь!I46+ноябрь!I46+декабрь!I46</f>
        <v>135544</v>
      </c>
      <c r="J46" s="8"/>
      <c r="K46" s="9"/>
      <c r="L46" s="9"/>
      <c r="M46" s="9"/>
    </row>
    <row r="47" spans="1:13" ht="15.75" customHeight="1" x14ac:dyDescent="0.2">
      <c r="A47" s="5">
        <v>33</v>
      </c>
      <c r="B47" s="10" t="s">
        <v>52</v>
      </c>
      <c r="C47" s="5" t="s">
        <v>40</v>
      </c>
      <c r="D47" s="5"/>
      <c r="E47" s="5"/>
      <c r="F47" s="5"/>
      <c r="G47" s="7">
        <f>январь!G47+февраль!G47+март!G47+апрель!G47+май!G47+июнь!G47+июль!G47+август!G47+сентябрь!G47+октябрь!G47+ноябрь!G47+декабрь!G47</f>
        <v>210144</v>
      </c>
      <c r="H47" s="7">
        <f>январь!H47+февраль!H47+март!H47+апрель!H47+май!H47+июнь!H47+июль!H47+август!H47+сентябрь!H47+октябрь!H47+ноябрь!H47+декабрь!H47</f>
        <v>25180</v>
      </c>
      <c r="I47" s="7">
        <f>январь!I47+февраль!I47+март!I47+апрель!I47+май!I47+июнь!I47+июль!I47+август!I47+сентябрь!I47+октябрь!I47+ноябрь!I47+декабрь!I47</f>
        <v>100519</v>
      </c>
      <c r="J47" s="8"/>
      <c r="K47" s="9"/>
      <c r="L47" s="9"/>
      <c r="M47" s="9"/>
    </row>
    <row r="48" spans="1:13" ht="15.75" customHeight="1" x14ac:dyDescent="0.2">
      <c r="A48" s="5">
        <v>34</v>
      </c>
      <c r="B48" s="10" t="s">
        <v>21</v>
      </c>
      <c r="C48" s="5" t="s">
        <v>40</v>
      </c>
      <c r="D48" s="5"/>
      <c r="E48" s="5"/>
      <c r="F48" s="5"/>
      <c r="G48" s="7">
        <f>январь!G48+февраль!G48+март!G48+апрель!G48+май!G48+июнь!G48+июль!G48+август!G48+сентябрь!G48+октябрь!G48+ноябрь!G48+декабрь!G48</f>
        <v>694843</v>
      </c>
      <c r="H48" s="7">
        <f>январь!H48+февраль!H48+март!H48+апрель!H48+май!H48+июнь!H48+июль!H48+август!H48+сентябрь!H48+октябрь!H48+ноябрь!H48+декабрь!H48</f>
        <v>102708</v>
      </c>
      <c r="I48" s="7">
        <f>январь!I48+февраль!I48+март!I48+апрель!I48+май!I48+июнь!I48+июль!I48+август!I48+сентябрь!I48+октябрь!I48+ноябрь!I48+декабрь!I48</f>
        <v>197626</v>
      </c>
      <c r="J48" s="8"/>
      <c r="K48" s="9"/>
      <c r="L48" s="9"/>
      <c r="M48" s="9"/>
    </row>
    <row r="49" spans="1:13" ht="15.75" customHeight="1" x14ac:dyDescent="0.2">
      <c r="A49" s="5">
        <v>35</v>
      </c>
      <c r="B49" s="10" t="s">
        <v>50</v>
      </c>
      <c r="C49" s="5" t="s">
        <v>40</v>
      </c>
      <c r="D49" s="5"/>
      <c r="E49" s="5"/>
      <c r="F49" s="5"/>
      <c r="G49" s="7">
        <f>январь!G49+февраль!G49+март!G49+апрель!G49+май!G49+июнь!G49+июль!G49+август!G49+сентябрь!G49+октябрь!G49+ноябрь!G49+декабрь!G49</f>
        <v>75320</v>
      </c>
      <c r="H49" s="7">
        <f>январь!H49+февраль!H49+март!H49+апрель!H49+май!H49+июнь!H49+июль!H49+август!H49+сентябрь!H49+октябрь!H49+ноябрь!H49+декабрь!H49</f>
        <v>5653</v>
      </c>
      <c r="I49" s="7">
        <f>январь!I49+февраль!I49+март!I49+апрель!I49+май!I49+июнь!I49+июль!I49+август!I49+сентябрь!I49+октябрь!I49+ноябрь!I49+декабрь!I49</f>
        <v>16601</v>
      </c>
      <c r="J49" s="8"/>
      <c r="K49" s="9"/>
      <c r="L49" s="9"/>
      <c r="M49" s="9"/>
    </row>
    <row r="50" spans="1:13" ht="15.75" customHeight="1" x14ac:dyDescent="0.2">
      <c r="A50" s="5">
        <v>36</v>
      </c>
      <c r="B50" s="10" t="s">
        <v>23</v>
      </c>
      <c r="C50" s="5" t="s">
        <v>40</v>
      </c>
      <c r="D50" s="5"/>
      <c r="E50" s="5"/>
      <c r="F50" s="5"/>
      <c r="G50" s="7">
        <f>январь!G50+февраль!G50+март!G50+апрель!G50+май!G50+июнь!G50+июль!G50+август!G50+сентябрь!G50+октябрь!G50+ноябрь!G50+декабрь!G50</f>
        <v>283522</v>
      </c>
      <c r="H50" s="7">
        <f>январь!H50+февраль!H50+март!H50+апрель!H50+май!H50+июнь!H50+июль!H50+август!H50+сентябрь!H50+октябрь!H50+ноябрь!H50+декабрь!H50</f>
        <v>17728</v>
      </c>
      <c r="I50" s="7">
        <f>январь!I50+февраль!I50+март!I50+апрель!I50+май!I50+июнь!I50+июль!I50+август!I50+сентябрь!I50+октябрь!I50+ноябрь!I50+декабрь!I50</f>
        <v>129288</v>
      </c>
      <c r="J50" s="8"/>
      <c r="K50" s="9"/>
      <c r="L50" s="9"/>
      <c r="M50" s="9"/>
    </row>
    <row r="51" spans="1:13" ht="15.75" customHeight="1" x14ac:dyDescent="0.2">
      <c r="A51" s="5">
        <v>37</v>
      </c>
      <c r="B51" s="10" t="s">
        <v>44</v>
      </c>
      <c r="C51" s="5" t="s">
        <v>40</v>
      </c>
      <c r="D51" s="5"/>
      <c r="E51" s="5"/>
      <c r="F51" s="5"/>
      <c r="G51" s="7">
        <f>январь!G51+февраль!G51+март!G51+апрель!G51+май!G51+июнь!G51+июль!G51+август!G51+сентябрь!G51+октябрь!G51+ноябрь!G51+декабрь!G51</f>
        <v>93425</v>
      </c>
      <c r="H51" s="7">
        <f>январь!H51+февраль!H51+март!H51+апрель!H51+май!H51+июнь!H51+июль!H51+август!H51+сентябрь!H51+октябрь!H51+ноябрь!H51+декабрь!H51</f>
        <v>0</v>
      </c>
      <c r="I51" s="7">
        <f>январь!I51+февраль!I51+март!I51+апрель!I51+май!I51+июнь!I51+июль!I51+август!I51+сентябрь!I51+октябрь!I51+ноябрь!I51+декабрь!I51</f>
        <v>18514</v>
      </c>
      <c r="J51" s="8"/>
      <c r="K51" s="9"/>
      <c r="L51" s="9"/>
      <c r="M51" s="9"/>
    </row>
    <row r="52" spans="1:13" ht="13.5" customHeight="1" x14ac:dyDescent="0.2">
      <c r="A52" s="16" t="s">
        <v>4</v>
      </c>
      <c r="B52" s="16"/>
      <c r="C52" s="11" t="s">
        <v>40</v>
      </c>
      <c r="D52" s="12" t="s">
        <v>66</v>
      </c>
      <c r="E52" s="12" t="s">
        <v>66</v>
      </c>
      <c r="F52" s="12" t="s">
        <v>66</v>
      </c>
      <c r="G52" s="12">
        <f>SUM(G15:G51)</f>
        <v>11819704</v>
      </c>
      <c r="H52" s="12">
        <f t="shared" ref="H52:I52" si="0">SUM(H15:H51)</f>
        <v>2705767</v>
      </c>
      <c r="I52" s="12">
        <f t="shared" si="0"/>
        <v>4119997</v>
      </c>
    </row>
    <row r="53" spans="1:13" x14ac:dyDescent="0.2">
      <c r="G53" s="13"/>
      <c r="H53" s="13"/>
      <c r="I53" s="13"/>
      <c r="J53" s="8"/>
    </row>
    <row r="54" spans="1:13" x14ac:dyDescent="0.2">
      <c r="G54" s="13"/>
      <c r="H54" s="13"/>
      <c r="I54" s="13"/>
    </row>
    <row r="58" spans="1:13" x14ac:dyDescent="0.2">
      <c r="C58" s="14"/>
      <c r="D58" s="14"/>
      <c r="E58" s="14"/>
      <c r="F58" s="14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workbookViewId="0">
      <selection activeCell="I25" sqref="I25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5" t="s">
        <v>39</v>
      </c>
      <c r="I1" s="15"/>
    </row>
    <row r="2" spans="1:13" x14ac:dyDescent="0.2">
      <c r="H2" s="15" t="s">
        <v>26</v>
      </c>
      <c r="I2" s="15"/>
    </row>
    <row r="3" spans="1:13" x14ac:dyDescent="0.2">
      <c r="H3" s="15" t="s">
        <v>27</v>
      </c>
      <c r="I3" s="15"/>
    </row>
    <row r="4" spans="1:13" x14ac:dyDescent="0.2">
      <c r="H4" s="15" t="s">
        <v>28</v>
      </c>
      <c r="I4" s="15"/>
    </row>
    <row r="5" spans="1:13" x14ac:dyDescent="0.2">
      <c r="H5" s="15" t="s">
        <v>29</v>
      </c>
      <c r="I5" s="15"/>
    </row>
    <row r="6" spans="1:13" x14ac:dyDescent="0.2">
      <c r="C6" s="2"/>
      <c r="D6" s="2"/>
      <c r="E6" s="2"/>
      <c r="F6" s="2"/>
      <c r="G6" s="2"/>
      <c r="H6" s="15" t="s">
        <v>30</v>
      </c>
      <c r="I6" s="15"/>
    </row>
    <row r="7" spans="1:13" x14ac:dyDescent="0.2">
      <c r="G7" s="2"/>
      <c r="H7" s="15" t="s">
        <v>3</v>
      </c>
      <c r="I7" s="15"/>
    </row>
    <row r="9" spans="1:13" ht="12.75" customHeight="1" x14ac:dyDescent="0.2">
      <c r="A9" s="17" t="s">
        <v>31</v>
      </c>
      <c r="B9" s="17"/>
      <c r="C9" s="17"/>
      <c r="D9" s="17"/>
      <c r="E9" s="17"/>
      <c r="F9" s="17"/>
      <c r="G9" s="17"/>
      <c r="H9" s="17"/>
      <c r="I9" s="17"/>
      <c r="J9" s="3"/>
    </row>
    <row r="10" spans="1:13" ht="30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3"/>
    </row>
    <row r="12" spans="1:13" x14ac:dyDescent="0.2">
      <c r="A12" s="18" t="s">
        <v>0</v>
      </c>
      <c r="B12" s="21" t="s">
        <v>1</v>
      </c>
      <c r="C12" s="22" t="s">
        <v>2</v>
      </c>
      <c r="D12" s="21" t="s">
        <v>69</v>
      </c>
      <c r="E12" s="21"/>
      <c r="F12" s="21"/>
      <c r="G12" s="21"/>
      <c r="H12" s="21"/>
      <c r="I12" s="21"/>
    </row>
    <row r="13" spans="1:13" x14ac:dyDescent="0.2">
      <c r="A13" s="19"/>
      <c r="B13" s="21"/>
      <c r="C13" s="23"/>
      <c r="D13" s="4" t="s">
        <v>32</v>
      </c>
      <c r="E13" s="4" t="s">
        <v>33</v>
      </c>
      <c r="F13" s="4" t="s">
        <v>34</v>
      </c>
      <c r="G13" s="21" t="s">
        <v>35</v>
      </c>
      <c r="H13" s="21"/>
      <c r="I13" s="21"/>
    </row>
    <row r="14" spans="1:13" ht="28.5" customHeight="1" x14ac:dyDescent="0.2">
      <c r="A14" s="20"/>
      <c r="B14" s="21"/>
      <c r="C14" s="24"/>
      <c r="D14" s="4"/>
      <c r="E14" s="4"/>
      <c r="F14" s="4"/>
      <c r="G14" s="4" t="s">
        <v>36</v>
      </c>
      <c r="H14" s="4" t="s">
        <v>37</v>
      </c>
      <c r="I14" s="4" t="s">
        <v>38</v>
      </c>
    </row>
    <row r="15" spans="1:13" ht="15.75" customHeight="1" x14ac:dyDescent="0.2">
      <c r="A15" s="5">
        <v>1</v>
      </c>
      <c r="B15" s="6" t="s">
        <v>25</v>
      </c>
      <c r="C15" s="5" t="s">
        <v>40</v>
      </c>
      <c r="D15" s="5"/>
      <c r="E15" s="5"/>
      <c r="F15" s="5"/>
      <c r="G15" s="7">
        <v>24266</v>
      </c>
      <c r="H15" s="7">
        <v>1375</v>
      </c>
      <c r="I15" s="7">
        <f>31949-H15</f>
        <v>30574</v>
      </c>
      <c r="J15" s="8"/>
      <c r="K15" s="9"/>
      <c r="L15" s="9"/>
      <c r="M15" s="9"/>
    </row>
    <row r="16" spans="1:13" ht="15.75" customHeight="1" x14ac:dyDescent="0.2">
      <c r="A16" s="5">
        <v>2</v>
      </c>
      <c r="B16" s="6" t="s">
        <v>47</v>
      </c>
      <c r="C16" s="5" t="s">
        <v>40</v>
      </c>
      <c r="D16" s="5"/>
      <c r="E16" s="5"/>
      <c r="F16" s="5"/>
      <c r="G16" s="7">
        <v>16634</v>
      </c>
      <c r="H16" s="7">
        <v>1219</v>
      </c>
      <c r="I16" s="7">
        <f>4588-H16</f>
        <v>3369</v>
      </c>
      <c r="J16" s="8"/>
      <c r="K16" s="9"/>
      <c r="L16" s="9"/>
      <c r="M16" s="9"/>
    </row>
    <row r="17" spans="1:13" ht="15.75" customHeight="1" x14ac:dyDescent="0.2">
      <c r="A17" s="5">
        <v>3</v>
      </c>
      <c r="B17" s="6" t="s">
        <v>58</v>
      </c>
      <c r="C17" s="5" t="s">
        <v>40</v>
      </c>
      <c r="D17" s="5"/>
      <c r="E17" s="5"/>
      <c r="F17" s="5"/>
      <c r="G17" s="7">
        <v>2762</v>
      </c>
      <c r="H17" s="7"/>
      <c r="I17" s="7">
        <v>364</v>
      </c>
      <c r="J17" s="8"/>
      <c r="K17" s="9"/>
      <c r="L17" s="9"/>
      <c r="M17" s="9"/>
    </row>
    <row r="18" spans="1:13" ht="15.75" customHeight="1" x14ac:dyDescent="0.2">
      <c r="A18" s="5">
        <v>4</v>
      </c>
      <c r="B18" s="6" t="s">
        <v>15</v>
      </c>
      <c r="C18" s="5" t="s">
        <v>40</v>
      </c>
      <c r="D18" s="5"/>
      <c r="E18" s="5"/>
      <c r="F18" s="5"/>
      <c r="G18" s="7">
        <v>29001</v>
      </c>
      <c r="H18" s="7">
        <v>1955</v>
      </c>
      <c r="I18" s="7">
        <f>5343-H18</f>
        <v>3388</v>
      </c>
      <c r="J18" s="8"/>
      <c r="K18" s="9"/>
      <c r="L18" s="9"/>
      <c r="M18" s="9"/>
    </row>
    <row r="19" spans="1:13" ht="15.75" customHeight="1" x14ac:dyDescent="0.2">
      <c r="A19" s="5">
        <v>5</v>
      </c>
      <c r="B19" s="6" t="s">
        <v>46</v>
      </c>
      <c r="C19" s="5" t="s">
        <v>40</v>
      </c>
      <c r="D19" s="5"/>
      <c r="E19" s="5"/>
      <c r="F19" s="5"/>
      <c r="G19" s="7">
        <v>4121</v>
      </c>
      <c r="H19" s="7">
        <v>209</v>
      </c>
      <c r="I19" s="7">
        <f>1715-H19</f>
        <v>1506</v>
      </c>
      <c r="J19" s="8"/>
      <c r="K19" s="9"/>
      <c r="L19" s="9"/>
      <c r="M19" s="9"/>
    </row>
    <row r="20" spans="1:13" ht="15.75" customHeight="1" x14ac:dyDescent="0.2">
      <c r="A20" s="5">
        <v>6</v>
      </c>
      <c r="B20" s="6" t="s">
        <v>16</v>
      </c>
      <c r="C20" s="5" t="s">
        <v>40</v>
      </c>
      <c r="D20" s="5"/>
      <c r="E20" s="5"/>
      <c r="F20" s="5"/>
      <c r="G20" s="7">
        <v>49735</v>
      </c>
      <c r="H20" s="7">
        <f>5674+12533</f>
        <v>18207</v>
      </c>
      <c r="I20" s="7">
        <f>41296-H20</f>
        <v>23089</v>
      </c>
      <c r="J20" s="8"/>
      <c r="K20" s="9"/>
      <c r="L20" s="9"/>
      <c r="M20" s="9"/>
    </row>
    <row r="21" spans="1:13" ht="15.75" customHeight="1" x14ac:dyDescent="0.2">
      <c r="A21" s="5">
        <v>7</v>
      </c>
      <c r="B21" s="6" t="s">
        <v>56</v>
      </c>
      <c r="C21" s="5" t="s">
        <v>40</v>
      </c>
      <c r="D21" s="5"/>
      <c r="E21" s="5"/>
      <c r="F21" s="5"/>
      <c r="G21" s="7">
        <v>11279</v>
      </c>
      <c r="H21" s="7">
        <f>1193+3115</f>
        <v>4308</v>
      </c>
      <c r="I21" s="7">
        <v>1869</v>
      </c>
      <c r="J21" s="8"/>
      <c r="K21" s="9"/>
      <c r="L21" s="9"/>
      <c r="M21" s="9"/>
    </row>
    <row r="22" spans="1:13" ht="15.75" customHeight="1" x14ac:dyDescent="0.2">
      <c r="A22" s="5">
        <v>8</v>
      </c>
      <c r="B22" s="6" t="s">
        <v>53</v>
      </c>
      <c r="C22" s="5" t="s">
        <v>40</v>
      </c>
      <c r="D22" s="5"/>
      <c r="E22" s="5"/>
      <c r="F22" s="5"/>
      <c r="G22" s="7">
        <v>5770</v>
      </c>
      <c r="H22" s="7">
        <v>464</v>
      </c>
      <c r="I22" s="7">
        <f>2469-H22</f>
        <v>2005</v>
      </c>
      <c r="J22" s="8"/>
      <c r="K22" s="9"/>
      <c r="L22" s="9"/>
      <c r="M22" s="9"/>
    </row>
    <row r="23" spans="1:13" ht="15.75" customHeight="1" x14ac:dyDescent="0.2">
      <c r="A23" s="5">
        <v>9</v>
      </c>
      <c r="B23" s="6" t="s">
        <v>57</v>
      </c>
      <c r="C23" s="5" t="s">
        <v>40</v>
      </c>
      <c r="D23" s="5"/>
      <c r="E23" s="5"/>
      <c r="F23" s="5"/>
      <c r="G23" s="7">
        <v>7752</v>
      </c>
      <c r="H23" s="7">
        <v>565</v>
      </c>
      <c r="I23" s="7">
        <v>1186</v>
      </c>
      <c r="J23" s="8"/>
      <c r="K23" s="9"/>
      <c r="L23" s="9"/>
      <c r="M23" s="9"/>
    </row>
    <row r="24" spans="1:13" ht="15.75" customHeight="1" x14ac:dyDescent="0.2">
      <c r="A24" s="5">
        <v>10</v>
      </c>
      <c r="B24" s="6" t="s">
        <v>59</v>
      </c>
      <c r="C24" s="5" t="s">
        <v>40</v>
      </c>
      <c r="D24" s="5"/>
      <c r="E24" s="5"/>
      <c r="F24" s="5"/>
      <c r="G24" s="7">
        <v>3806</v>
      </c>
      <c r="H24" s="7">
        <v>89</v>
      </c>
      <c r="I24" s="7">
        <f>682-H24</f>
        <v>593</v>
      </c>
      <c r="J24" s="8"/>
      <c r="K24" s="9"/>
      <c r="L24" s="9"/>
      <c r="M24" s="9"/>
    </row>
    <row r="25" spans="1:13" ht="15.75" customHeight="1" x14ac:dyDescent="0.2">
      <c r="A25" s="5">
        <v>11</v>
      </c>
      <c r="B25" s="6" t="s">
        <v>45</v>
      </c>
      <c r="C25" s="5" t="s">
        <v>40</v>
      </c>
      <c r="D25" s="5"/>
      <c r="E25" s="5"/>
      <c r="F25" s="5"/>
      <c r="G25" s="7">
        <v>8710</v>
      </c>
      <c r="H25" s="7"/>
      <c r="I25" s="7">
        <v>2095</v>
      </c>
      <c r="J25" s="8"/>
      <c r="K25" s="9"/>
      <c r="L25" s="9"/>
      <c r="M25" s="9"/>
    </row>
    <row r="26" spans="1:13" ht="15.75" customHeight="1" x14ac:dyDescent="0.2">
      <c r="A26" s="5">
        <v>12</v>
      </c>
      <c r="B26" s="6" t="s">
        <v>14</v>
      </c>
      <c r="C26" s="5" t="s">
        <v>40</v>
      </c>
      <c r="D26" s="5"/>
      <c r="E26" s="5"/>
      <c r="F26" s="5"/>
      <c r="G26" s="7">
        <v>46933</v>
      </c>
      <c r="H26" s="7">
        <f>8334+482</f>
        <v>8816</v>
      </c>
      <c r="I26" s="7">
        <v>13428</v>
      </c>
      <c r="J26" s="8"/>
      <c r="K26" s="9"/>
      <c r="L26" s="9"/>
      <c r="M26" s="9"/>
    </row>
    <row r="27" spans="1:13" ht="15.75" customHeight="1" x14ac:dyDescent="0.2">
      <c r="A27" s="5">
        <v>13</v>
      </c>
      <c r="B27" s="6" t="s">
        <v>51</v>
      </c>
      <c r="C27" s="5" t="s">
        <v>40</v>
      </c>
      <c r="D27" s="5"/>
      <c r="E27" s="5"/>
      <c r="F27" s="5"/>
      <c r="G27" s="7">
        <v>13757</v>
      </c>
      <c r="H27" s="7">
        <v>485</v>
      </c>
      <c r="I27" s="7">
        <f>2091-H27</f>
        <v>1606</v>
      </c>
      <c r="J27" s="8"/>
      <c r="K27" s="9"/>
      <c r="L27" s="9"/>
      <c r="M27" s="9"/>
    </row>
    <row r="28" spans="1:13" ht="15.75" customHeight="1" x14ac:dyDescent="0.2">
      <c r="A28" s="5">
        <v>14</v>
      </c>
      <c r="B28" s="6" t="s">
        <v>18</v>
      </c>
      <c r="C28" s="5" t="s">
        <v>40</v>
      </c>
      <c r="D28" s="5"/>
      <c r="E28" s="5"/>
      <c r="F28" s="5"/>
      <c r="G28" s="7">
        <v>42059</v>
      </c>
      <c r="H28" s="7">
        <v>2917</v>
      </c>
      <c r="I28" s="7">
        <f>14148-H28</f>
        <v>11231</v>
      </c>
      <c r="J28" s="8"/>
      <c r="K28" s="9"/>
      <c r="L28" s="9"/>
      <c r="M28" s="9"/>
    </row>
    <row r="29" spans="1:13" ht="15.75" customHeight="1" x14ac:dyDescent="0.2">
      <c r="A29" s="5">
        <v>15</v>
      </c>
      <c r="B29" s="10" t="s">
        <v>60</v>
      </c>
      <c r="C29" s="5" t="s">
        <v>40</v>
      </c>
      <c r="D29" s="5"/>
      <c r="E29" s="5"/>
      <c r="F29" s="5"/>
      <c r="G29" s="7">
        <v>3848</v>
      </c>
      <c r="H29" s="7">
        <v>79</v>
      </c>
      <c r="I29" s="7">
        <f>711-H29</f>
        <v>632</v>
      </c>
      <c r="J29" s="8"/>
      <c r="K29" s="9"/>
      <c r="L29" s="9"/>
      <c r="M29" s="9"/>
    </row>
    <row r="30" spans="1:13" ht="15.75" customHeight="1" x14ac:dyDescent="0.2">
      <c r="A30" s="5">
        <v>16</v>
      </c>
      <c r="B30" s="10" t="s">
        <v>17</v>
      </c>
      <c r="C30" s="5" t="s">
        <v>40</v>
      </c>
      <c r="D30" s="5"/>
      <c r="E30" s="5"/>
      <c r="F30" s="5"/>
      <c r="G30" s="7">
        <v>60851</v>
      </c>
      <c r="H30" s="7">
        <f>2529+42273</f>
        <v>44802</v>
      </c>
      <c r="I30" s="7">
        <f>56706-H30</f>
        <v>11904</v>
      </c>
      <c r="J30" s="8"/>
      <c r="K30" s="9"/>
      <c r="L30" s="9"/>
      <c r="M30" s="9"/>
    </row>
    <row r="31" spans="1:13" ht="15.75" customHeight="1" x14ac:dyDescent="0.2">
      <c r="A31" s="5">
        <v>17</v>
      </c>
      <c r="B31" s="10" t="s">
        <v>61</v>
      </c>
      <c r="C31" s="5" t="s">
        <v>40</v>
      </c>
      <c r="D31" s="5"/>
      <c r="E31" s="5"/>
      <c r="F31" s="5"/>
      <c r="G31" s="7">
        <v>6730</v>
      </c>
      <c r="H31" s="7"/>
      <c r="I31" s="7">
        <v>898</v>
      </c>
      <c r="J31" s="8"/>
      <c r="K31" s="9"/>
      <c r="L31" s="9"/>
      <c r="M31" s="9"/>
    </row>
    <row r="32" spans="1:13" ht="15.75" customHeight="1" x14ac:dyDescent="0.2">
      <c r="A32" s="5">
        <v>18</v>
      </c>
      <c r="B32" s="6" t="s">
        <v>41</v>
      </c>
      <c r="C32" s="5" t="s">
        <v>40</v>
      </c>
      <c r="D32" s="5"/>
      <c r="E32" s="5"/>
      <c r="F32" s="5"/>
      <c r="G32" s="7">
        <v>22327</v>
      </c>
      <c r="H32" s="7">
        <f>695+11871</f>
        <v>12566</v>
      </c>
      <c r="I32" s="7">
        <f>15928-H32</f>
        <v>3362</v>
      </c>
      <c r="J32" s="8"/>
      <c r="K32" s="9"/>
      <c r="L32" s="9"/>
      <c r="M32" s="9"/>
    </row>
    <row r="33" spans="1:13" ht="15.75" customHeight="1" x14ac:dyDescent="0.2">
      <c r="A33" s="5">
        <v>19</v>
      </c>
      <c r="B33" s="6" t="s">
        <v>62</v>
      </c>
      <c r="C33" s="5" t="s">
        <v>40</v>
      </c>
      <c r="D33" s="5"/>
      <c r="E33" s="5"/>
      <c r="F33" s="5"/>
      <c r="G33" s="7">
        <v>12588</v>
      </c>
      <c r="H33" s="7">
        <v>100</v>
      </c>
      <c r="I33" s="7">
        <f>1678-H33</f>
        <v>1578</v>
      </c>
      <c r="J33" s="8"/>
      <c r="K33" s="9"/>
      <c r="L33" s="9"/>
      <c r="M33" s="9"/>
    </row>
    <row r="34" spans="1:13" ht="15.75" customHeight="1" x14ac:dyDescent="0.2">
      <c r="A34" s="5">
        <v>20</v>
      </c>
      <c r="B34" s="6" t="s">
        <v>49</v>
      </c>
      <c r="C34" s="5" t="s">
        <v>40</v>
      </c>
      <c r="D34" s="5"/>
      <c r="E34" s="5"/>
      <c r="F34" s="5"/>
      <c r="G34" s="7">
        <v>881</v>
      </c>
      <c r="H34" s="7"/>
      <c r="I34" s="7">
        <v>26</v>
      </c>
      <c r="J34" s="8"/>
      <c r="K34" s="9"/>
      <c r="L34" s="9"/>
      <c r="M34" s="9"/>
    </row>
    <row r="35" spans="1:13" ht="15.75" customHeight="1" x14ac:dyDescent="0.2">
      <c r="A35" s="5">
        <v>21</v>
      </c>
      <c r="B35" s="6" t="s">
        <v>20</v>
      </c>
      <c r="C35" s="5" t="s">
        <v>40</v>
      </c>
      <c r="D35" s="5"/>
      <c r="E35" s="5"/>
      <c r="F35" s="5"/>
      <c r="G35" s="7">
        <v>48792</v>
      </c>
      <c r="H35" s="7">
        <v>4330</v>
      </c>
      <c r="I35" s="7">
        <f>15102-H35</f>
        <v>10772</v>
      </c>
      <c r="J35" s="8"/>
      <c r="K35" s="9"/>
      <c r="L35" s="9"/>
      <c r="M35" s="9"/>
    </row>
    <row r="36" spans="1:13" ht="15.75" customHeight="1" x14ac:dyDescent="0.2">
      <c r="A36" s="5">
        <v>22</v>
      </c>
      <c r="B36" s="6" t="s">
        <v>22</v>
      </c>
      <c r="C36" s="5" t="s">
        <v>40</v>
      </c>
      <c r="D36" s="5"/>
      <c r="E36" s="5"/>
      <c r="F36" s="5"/>
      <c r="G36" s="7">
        <v>89629</v>
      </c>
      <c r="H36" s="7">
        <f>18492+54</f>
        <v>18546</v>
      </c>
      <c r="I36" s="7">
        <f>35412-H36</f>
        <v>16866</v>
      </c>
      <c r="J36" s="8"/>
      <c r="K36" s="9"/>
      <c r="L36" s="9"/>
      <c r="M36" s="9"/>
    </row>
    <row r="37" spans="1:13" ht="15.75" customHeight="1" x14ac:dyDescent="0.2">
      <c r="A37" s="5">
        <v>23</v>
      </c>
      <c r="B37" s="6" t="s">
        <v>55</v>
      </c>
      <c r="C37" s="5" t="s">
        <v>40</v>
      </c>
      <c r="D37" s="5"/>
      <c r="E37" s="5"/>
      <c r="F37" s="5"/>
      <c r="G37" s="7">
        <v>60196</v>
      </c>
      <c r="H37" s="7">
        <f>16342+180</f>
        <v>16522</v>
      </c>
      <c r="I37" s="7">
        <v>41105</v>
      </c>
      <c r="J37" s="8"/>
      <c r="K37" s="9"/>
      <c r="L37" s="9"/>
      <c r="M37" s="9"/>
    </row>
    <row r="38" spans="1:13" ht="15.75" customHeight="1" x14ac:dyDescent="0.2">
      <c r="A38" s="5">
        <v>24</v>
      </c>
      <c r="B38" s="6" t="s">
        <v>19</v>
      </c>
      <c r="C38" s="5" t="s">
        <v>40</v>
      </c>
      <c r="D38" s="5"/>
      <c r="E38" s="5"/>
      <c r="F38" s="5"/>
      <c r="G38" s="7">
        <v>29831</v>
      </c>
      <c r="H38" s="7">
        <f>4037+11820</f>
        <v>15857</v>
      </c>
      <c r="I38" s="7">
        <f>24977-H38</f>
        <v>9120</v>
      </c>
      <c r="J38" s="8"/>
      <c r="K38" s="9"/>
      <c r="L38" s="9"/>
      <c r="M38" s="9"/>
    </row>
    <row r="39" spans="1:13" ht="15.75" customHeight="1" x14ac:dyDescent="0.2">
      <c r="A39" s="5">
        <v>25</v>
      </c>
      <c r="B39" s="6" t="s">
        <v>24</v>
      </c>
      <c r="C39" s="5" t="s">
        <v>40</v>
      </c>
      <c r="D39" s="5"/>
      <c r="E39" s="5"/>
      <c r="F39" s="5"/>
      <c r="G39" s="7">
        <v>74571</v>
      </c>
      <c r="H39" s="7">
        <f>10030+1202</f>
        <v>11232</v>
      </c>
      <c r="I39" s="7">
        <f>40818-H39</f>
        <v>29586</v>
      </c>
      <c r="J39" s="8"/>
      <c r="K39" s="9"/>
      <c r="L39" s="9"/>
      <c r="M39" s="9"/>
    </row>
    <row r="40" spans="1:13" ht="15.75" customHeight="1" x14ac:dyDescent="0.2">
      <c r="A40" s="5">
        <v>26</v>
      </c>
      <c r="B40" s="6" t="s">
        <v>48</v>
      </c>
      <c r="C40" s="5" t="s">
        <v>40</v>
      </c>
      <c r="D40" s="5"/>
      <c r="E40" s="5"/>
      <c r="F40" s="5"/>
      <c r="G40" s="7">
        <v>2497</v>
      </c>
      <c r="H40" s="7"/>
      <c r="I40" s="7">
        <v>407</v>
      </c>
      <c r="J40" s="8"/>
      <c r="K40" s="9"/>
      <c r="L40" s="9"/>
      <c r="M40" s="9"/>
    </row>
    <row r="41" spans="1:13" ht="15.75" customHeight="1" x14ac:dyDescent="0.2">
      <c r="A41" s="5">
        <v>27</v>
      </c>
      <c r="B41" s="6" t="s">
        <v>42</v>
      </c>
      <c r="C41" s="5" t="s">
        <v>40</v>
      </c>
      <c r="D41" s="5"/>
      <c r="E41" s="5"/>
      <c r="F41" s="5"/>
      <c r="G41" s="7">
        <v>8009</v>
      </c>
      <c r="H41" s="7">
        <v>50</v>
      </c>
      <c r="I41" s="7">
        <f>1476-H41</f>
        <v>1426</v>
      </c>
      <c r="J41" s="8"/>
      <c r="K41" s="9"/>
      <c r="L41" s="9"/>
      <c r="M41" s="9"/>
    </row>
    <row r="42" spans="1:13" ht="15.75" customHeight="1" x14ac:dyDescent="0.2">
      <c r="A42" s="5">
        <v>28</v>
      </c>
      <c r="B42" s="6" t="s">
        <v>54</v>
      </c>
      <c r="C42" s="5" t="s">
        <v>40</v>
      </c>
      <c r="D42" s="5"/>
      <c r="E42" s="5"/>
      <c r="F42" s="5"/>
      <c r="G42" s="7">
        <v>5221</v>
      </c>
      <c r="H42" s="7">
        <v>1248</v>
      </c>
      <c r="I42" s="7">
        <f>2384-H42</f>
        <v>1136</v>
      </c>
      <c r="J42" s="8"/>
      <c r="K42" s="9"/>
      <c r="L42" s="9"/>
      <c r="M42" s="9"/>
    </row>
    <row r="43" spans="1:13" ht="15.75" customHeight="1" x14ac:dyDescent="0.2">
      <c r="A43" s="5">
        <v>29</v>
      </c>
      <c r="B43" s="6" t="s">
        <v>43</v>
      </c>
      <c r="C43" s="5" t="s">
        <v>40</v>
      </c>
      <c r="D43" s="5"/>
      <c r="E43" s="5"/>
      <c r="F43" s="5"/>
      <c r="G43" s="7">
        <v>7109</v>
      </c>
      <c r="H43" s="7">
        <v>40</v>
      </c>
      <c r="I43" s="7">
        <f>1097-H43</f>
        <v>1057</v>
      </c>
      <c r="J43" s="8"/>
      <c r="K43" s="9"/>
      <c r="L43" s="9"/>
      <c r="M43" s="9"/>
    </row>
    <row r="44" spans="1:13" ht="15.75" customHeight="1" x14ac:dyDescent="0.2">
      <c r="A44" s="5">
        <v>30</v>
      </c>
      <c r="B44" s="6" t="s">
        <v>63</v>
      </c>
      <c r="C44" s="5" t="s">
        <v>40</v>
      </c>
      <c r="D44" s="5"/>
      <c r="E44" s="5"/>
      <c r="F44" s="5"/>
      <c r="G44" s="7">
        <v>28291</v>
      </c>
      <c r="H44" s="7">
        <f>2652+445</f>
        <v>3097</v>
      </c>
      <c r="I44" s="7">
        <f>11824-H44</f>
        <v>8727</v>
      </c>
      <c r="J44" s="8"/>
      <c r="K44" s="9"/>
      <c r="L44" s="9"/>
      <c r="M44" s="9"/>
    </row>
    <row r="45" spans="1:13" ht="15.75" customHeight="1" x14ac:dyDescent="0.2">
      <c r="A45" s="5">
        <v>31</v>
      </c>
      <c r="B45" s="6" t="s">
        <v>64</v>
      </c>
      <c r="C45" s="5" t="s">
        <v>40</v>
      </c>
      <c r="D45" s="5"/>
      <c r="E45" s="5"/>
      <c r="F45" s="5"/>
      <c r="G45" s="7">
        <v>2361</v>
      </c>
      <c r="H45" s="7"/>
      <c r="I45" s="7">
        <v>350</v>
      </c>
      <c r="J45" s="8"/>
      <c r="K45" s="9"/>
      <c r="L45" s="9"/>
      <c r="M45" s="9"/>
    </row>
    <row r="46" spans="1:13" ht="15.75" customHeight="1" x14ac:dyDescent="0.2">
      <c r="A46" s="5">
        <v>32</v>
      </c>
      <c r="B46" s="10" t="s">
        <v>65</v>
      </c>
      <c r="C46" s="5" t="s">
        <v>40</v>
      </c>
      <c r="D46" s="5"/>
      <c r="E46" s="5"/>
      <c r="F46" s="5"/>
      <c r="G46" s="7">
        <v>45528</v>
      </c>
      <c r="H46" s="7">
        <f>4665+3029</f>
        <v>7694</v>
      </c>
      <c r="I46" s="7">
        <f>19391-H46</f>
        <v>11697</v>
      </c>
      <c r="J46" s="8"/>
      <c r="K46" s="9"/>
      <c r="L46" s="9"/>
      <c r="M46" s="9"/>
    </row>
    <row r="47" spans="1:13" ht="15.75" customHeight="1" x14ac:dyDescent="0.2">
      <c r="A47" s="5">
        <v>33</v>
      </c>
      <c r="B47" s="10" t="s">
        <v>52</v>
      </c>
      <c r="C47" s="5" t="s">
        <v>40</v>
      </c>
      <c r="D47" s="5"/>
      <c r="E47" s="5"/>
      <c r="F47" s="5"/>
      <c r="G47" s="7">
        <v>18846</v>
      </c>
      <c r="H47" s="7">
        <v>1608</v>
      </c>
      <c r="I47" s="7">
        <f>7412-H47</f>
        <v>5804</v>
      </c>
      <c r="J47" s="8"/>
      <c r="K47" s="9"/>
      <c r="L47" s="9"/>
      <c r="M47" s="9"/>
    </row>
    <row r="48" spans="1:13" ht="15.75" customHeight="1" x14ac:dyDescent="0.2">
      <c r="A48" s="5">
        <v>34</v>
      </c>
      <c r="B48" s="10" t="s">
        <v>21</v>
      </c>
      <c r="C48" s="5" t="s">
        <v>40</v>
      </c>
      <c r="D48" s="5"/>
      <c r="E48" s="5"/>
      <c r="F48" s="5"/>
      <c r="G48" s="7">
        <f>49050+147+368</f>
        <v>49565</v>
      </c>
      <c r="H48" s="7">
        <v>3748</v>
      </c>
      <c r="I48" s="7">
        <f>18344-H48</f>
        <v>14596</v>
      </c>
      <c r="J48" s="8"/>
      <c r="K48" s="9"/>
      <c r="L48" s="9"/>
      <c r="M48" s="9"/>
    </row>
    <row r="49" spans="1:13" ht="15.75" customHeight="1" x14ac:dyDescent="0.2">
      <c r="A49" s="5">
        <v>35</v>
      </c>
      <c r="B49" s="10" t="s">
        <v>50</v>
      </c>
      <c r="C49" s="5" t="s">
        <v>40</v>
      </c>
      <c r="D49" s="5"/>
      <c r="E49" s="5"/>
      <c r="F49" s="5"/>
      <c r="G49" s="7">
        <v>5643</v>
      </c>
      <c r="H49" s="7">
        <v>759</v>
      </c>
      <c r="I49" s="7">
        <f>1384-H49</f>
        <v>625</v>
      </c>
      <c r="J49" s="8"/>
      <c r="K49" s="9"/>
      <c r="L49" s="9"/>
      <c r="M49" s="9"/>
    </row>
    <row r="50" spans="1:13" ht="15.75" customHeight="1" x14ac:dyDescent="0.2">
      <c r="A50" s="5">
        <v>36</v>
      </c>
      <c r="B50" s="10" t="s">
        <v>23</v>
      </c>
      <c r="C50" s="5" t="s">
        <v>40</v>
      </c>
      <c r="D50" s="5"/>
      <c r="E50" s="5"/>
      <c r="F50" s="5"/>
      <c r="G50" s="7">
        <v>21852</v>
      </c>
      <c r="H50" s="7">
        <v>1483</v>
      </c>
      <c r="I50" s="7">
        <f>10752-H50</f>
        <v>9269</v>
      </c>
      <c r="J50" s="8"/>
      <c r="K50" s="9"/>
      <c r="L50" s="9"/>
      <c r="M50" s="9"/>
    </row>
    <row r="51" spans="1:13" ht="15.75" customHeight="1" x14ac:dyDescent="0.2">
      <c r="A51" s="5">
        <v>37</v>
      </c>
      <c r="B51" s="10" t="s">
        <v>44</v>
      </c>
      <c r="C51" s="5" t="s">
        <v>40</v>
      </c>
      <c r="D51" s="5"/>
      <c r="E51" s="5"/>
      <c r="F51" s="5"/>
      <c r="G51" s="7">
        <v>8597</v>
      </c>
      <c r="H51" s="7"/>
      <c r="I51" s="7">
        <v>1647</v>
      </c>
      <c r="J51" s="8"/>
      <c r="K51" s="9"/>
      <c r="L51" s="9"/>
      <c r="M51" s="9"/>
    </row>
    <row r="52" spans="1:13" ht="13.5" customHeight="1" x14ac:dyDescent="0.2">
      <c r="A52" s="16" t="s">
        <v>4</v>
      </c>
      <c r="B52" s="16"/>
      <c r="C52" s="11" t="s">
        <v>40</v>
      </c>
      <c r="D52" s="12" t="s">
        <v>66</v>
      </c>
      <c r="E52" s="12" t="s">
        <v>66</v>
      </c>
      <c r="F52" s="12" t="s">
        <v>66</v>
      </c>
      <c r="G52" s="12">
        <f>SUM(G15:G51)</f>
        <v>880348</v>
      </c>
      <c r="H52" s="12">
        <f t="shared" ref="H52:I52" si="0">SUM(H15:H51)</f>
        <v>184370</v>
      </c>
      <c r="I52" s="12">
        <f t="shared" si="0"/>
        <v>278893</v>
      </c>
    </row>
    <row r="53" spans="1:13" x14ac:dyDescent="0.2">
      <c r="G53" s="13"/>
      <c r="H53" s="13"/>
      <c r="I53" s="13"/>
      <c r="J53" s="8"/>
    </row>
    <row r="54" spans="1:13" x14ac:dyDescent="0.2">
      <c r="G54" s="13"/>
      <c r="H54" s="13"/>
      <c r="I54" s="13"/>
    </row>
    <row r="58" spans="1:13" x14ac:dyDescent="0.2">
      <c r="C58" s="14"/>
      <c r="D58" s="14"/>
      <c r="E58" s="14"/>
      <c r="F58" s="14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21" workbookViewId="0">
      <selection activeCell="H30" sqref="H30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5" t="s">
        <v>39</v>
      </c>
      <c r="I1" s="15"/>
    </row>
    <row r="2" spans="1:13" x14ac:dyDescent="0.2">
      <c r="H2" s="15" t="s">
        <v>26</v>
      </c>
      <c r="I2" s="15"/>
    </row>
    <row r="3" spans="1:13" x14ac:dyDescent="0.2">
      <c r="H3" s="15" t="s">
        <v>27</v>
      </c>
      <c r="I3" s="15"/>
    </row>
    <row r="4" spans="1:13" x14ac:dyDescent="0.2">
      <c r="H4" s="15" t="s">
        <v>28</v>
      </c>
      <c r="I4" s="15"/>
    </row>
    <row r="5" spans="1:13" x14ac:dyDescent="0.2">
      <c r="H5" s="15" t="s">
        <v>29</v>
      </c>
      <c r="I5" s="15"/>
    </row>
    <row r="6" spans="1:13" x14ac:dyDescent="0.2">
      <c r="C6" s="2"/>
      <c r="D6" s="2"/>
      <c r="E6" s="2"/>
      <c r="F6" s="2"/>
      <c r="G6" s="2"/>
      <c r="H6" s="15" t="s">
        <v>30</v>
      </c>
      <c r="I6" s="15"/>
    </row>
    <row r="7" spans="1:13" x14ac:dyDescent="0.2">
      <c r="G7" s="2"/>
      <c r="H7" s="15" t="s">
        <v>3</v>
      </c>
      <c r="I7" s="15"/>
    </row>
    <row r="9" spans="1:13" ht="12.75" customHeight="1" x14ac:dyDescent="0.2">
      <c r="A9" s="17" t="s">
        <v>31</v>
      </c>
      <c r="B9" s="17"/>
      <c r="C9" s="17"/>
      <c r="D9" s="17"/>
      <c r="E9" s="17"/>
      <c r="F9" s="17"/>
      <c r="G9" s="17"/>
      <c r="H9" s="17"/>
      <c r="I9" s="17"/>
      <c r="J9" s="3"/>
    </row>
    <row r="10" spans="1:13" ht="30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3"/>
    </row>
    <row r="12" spans="1:13" x14ac:dyDescent="0.2">
      <c r="A12" s="18" t="s">
        <v>0</v>
      </c>
      <c r="B12" s="21" t="s">
        <v>1</v>
      </c>
      <c r="C12" s="22" t="s">
        <v>2</v>
      </c>
      <c r="D12" s="21" t="s">
        <v>10</v>
      </c>
      <c r="E12" s="21"/>
      <c r="F12" s="21"/>
      <c r="G12" s="21"/>
      <c r="H12" s="21"/>
      <c r="I12" s="21"/>
    </row>
    <row r="13" spans="1:13" x14ac:dyDescent="0.2">
      <c r="A13" s="19"/>
      <c r="B13" s="21"/>
      <c r="C13" s="23"/>
      <c r="D13" s="4" t="s">
        <v>32</v>
      </c>
      <c r="E13" s="4" t="s">
        <v>33</v>
      </c>
      <c r="F13" s="4" t="s">
        <v>34</v>
      </c>
      <c r="G13" s="21" t="s">
        <v>35</v>
      </c>
      <c r="H13" s="21"/>
      <c r="I13" s="21"/>
    </row>
    <row r="14" spans="1:13" ht="28.5" customHeight="1" x14ac:dyDescent="0.2">
      <c r="A14" s="20"/>
      <c r="B14" s="21"/>
      <c r="C14" s="24"/>
      <c r="D14" s="4"/>
      <c r="E14" s="4"/>
      <c r="F14" s="4"/>
      <c r="G14" s="4" t="s">
        <v>36</v>
      </c>
      <c r="H14" s="4" t="s">
        <v>37</v>
      </c>
      <c r="I14" s="4" t="s">
        <v>38</v>
      </c>
    </row>
    <row r="15" spans="1:13" ht="15.75" customHeight="1" x14ac:dyDescent="0.2">
      <c r="A15" s="5">
        <v>1</v>
      </c>
      <c r="B15" s="6" t="s">
        <v>25</v>
      </c>
      <c r="C15" s="5" t="s">
        <v>40</v>
      </c>
      <c r="D15" s="5"/>
      <c r="E15" s="5"/>
      <c r="F15" s="5"/>
      <c r="G15" s="7">
        <v>26938</v>
      </c>
      <c r="H15" s="7">
        <v>2515</v>
      </c>
      <c r="I15" s="7">
        <v>36080</v>
      </c>
      <c r="J15" s="8"/>
      <c r="K15" s="9"/>
      <c r="L15" s="9"/>
      <c r="M15" s="9"/>
    </row>
    <row r="16" spans="1:13" ht="15.75" customHeight="1" x14ac:dyDescent="0.2">
      <c r="A16" s="5">
        <v>2</v>
      </c>
      <c r="B16" s="6" t="s">
        <v>47</v>
      </c>
      <c r="C16" s="5" t="s">
        <v>40</v>
      </c>
      <c r="D16" s="5"/>
      <c r="E16" s="5"/>
      <c r="F16" s="5"/>
      <c r="G16" s="7">
        <v>14800</v>
      </c>
      <c r="H16" s="7">
        <v>1682</v>
      </c>
      <c r="I16" s="7">
        <v>6414</v>
      </c>
      <c r="J16" s="8"/>
      <c r="K16" s="9"/>
      <c r="L16" s="9"/>
      <c r="M16" s="9"/>
    </row>
    <row r="17" spans="1:13" ht="15.75" customHeight="1" x14ac:dyDescent="0.2">
      <c r="A17" s="5">
        <v>3</v>
      </c>
      <c r="B17" s="6" t="s">
        <v>58</v>
      </c>
      <c r="C17" s="5" t="s">
        <v>40</v>
      </c>
      <c r="D17" s="5"/>
      <c r="E17" s="5"/>
      <c r="F17" s="5"/>
      <c r="G17" s="7">
        <v>2290</v>
      </c>
      <c r="H17" s="7"/>
      <c r="I17" s="7">
        <v>299</v>
      </c>
      <c r="J17" s="8"/>
      <c r="K17" s="9"/>
      <c r="L17" s="9"/>
      <c r="M17" s="9"/>
    </row>
    <row r="18" spans="1:13" ht="15.75" customHeight="1" x14ac:dyDescent="0.2">
      <c r="A18" s="5">
        <v>4</v>
      </c>
      <c r="B18" s="6" t="s">
        <v>15</v>
      </c>
      <c r="C18" s="5" t="s">
        <v>40</v>
      </c>
      <c r="D18" s="5"/>
      <c r="E18" s="5"/>
      <c r="F18" s="5"/>
      <c r="G18" s="7">
        <v>40146</v>
      </c>
      <c r="H18" s="7">
        <v>1658</v>
      </c>
      <c r="I18" s="7">
        <v>4123</v>
      </c>
      <c r="J18" s="8"/>
      <c r="K18" s="9"/>
      <c r="L18" s="9"/>
      <c r="M18" s="9"/>
    </row>
    <row r="19" spans="1:13" ht="15.75" customHeight="1" x14ac:dyDescent="0.2">
      <c r="A19" s="5">
        <v>5</v>
      </c>
      <c r="B19" s="6" t="s">
        <v>46</v>
      </c>
      <c r="C19" s="5" t="s">
        <v>40</v>
      </c>
      <c r="D19" s="5"/>
      <c r="E19" s="5"/>
      <c r="F19" s="5"/>
      <c r="G19" s="7">
        <v>4957</v>
      </c>
      <c r="H19" s="7">
        <v>255</v>
      </c>
      <c r="I19" s="7">
        <v>1630</v>
      </c>
      <c r="J19" s="8"/>
      <c r="K19" s="9"/>
      <c r="L19" s="9"/>
      <c r="M19" s="9"/>
    </row>
    <row r="20" spans="1:13" ht="15.75" customHeight="1" x14ac:dyDescent="0.2">
      <c r="A20" s="5">
        <v>6</v>
      </c>
      <c r="B20" s="6" t="s">
        <v>16</v>
      </c>
      <c r="C20" s="5" t="s">
        <v>40</v>
      </c>
      <c r="D20" s="5"/>
      <c r="E20" s="5"/>
      <c r="F20" s="5"/>
      <c r="G20" s="7">
        <v>50357</v>
      </c>
      <c r="H20" s="7">
        <f>15699+8738</f>
        <v>24437</v>
      </c>
      <c r="I20" s="7">
        <v>26973</v>
      </c>
      <c r="J20" s="8"/>
      <c r="K20" s="9"/>
      <c r="L20" s="9"/>
      <c r="M20" s="9"/>
    </row>
    <row r="21" spans="1:13" ht="15.75" customHeight="1" x14ac:dyDescent="0.2">
      <c r="A21" s="5">
        <v>7</v>
      </c>
      <c r="B21" s="6" t="s">
        <v>56</v>
      </c>
      <c r="C21" s="5" t="s">
        <v>40</v>
      </c>
      <c r="D21" s="5"/>
      <c r="E21" s="5"/>
      <c r="F21" s="5"/>
      <c r="G21" s="7">
        <v>9388</v>
      </c>
      <c r="H21" s="7">
        <f>4420+1075</f>
        <v>5495</v>
      </c>
      <c r="I21" s="7">
        <v>2126</v>
      </c>
      <c r="J21" s="8"/>
      <c r="K21" s="9"/>
      <c r="L21" s="9"/>
      <c r="M21" s="9"/>
    </row>
    <row r="22" spans="1:13" ht="15.75" customHeight="1" x14ac:dyDescent="0.2">
      <c r="A22" s="5">
        <v>8</v>
      </c>
      <c r="B22" s="6" t="s">
        <v>53</v>
      </c>
      <c r="C22" s="5" t="s">
        <v>40</v>
      </c>
      <c r="D22" s="5"/>
      <c r="E22" s="5"/>
      <c r="F22" s="5"/>
      <c r="G22" s="7">
        <v>4933</v>
      </c>
      <c r="H22" s="7">
        <v>418</v>
      </c>
      <c r="I22" s="7">
        <v>3041</v>
      </c>
      <c r="J22" s="8"/>
      <c r="K22" s="9"/>
      <c r="L22" s="9"/>
      <c r="M22" s="9"/>
    </row>
    <row r="23" spans="1:13" ht="15.75" customHeight="1" x14ac:dyDescent="0.2">
      <c r="A23" s="5">
        <v>9</v>
      </c>
      <c r="B23" s="6" t="s">
        <v>57</v>
      </c>
      <c r="C23" s="5" t="s">
        <v>40</v>
      </c>
      <c r="D23" s="5"/>
      <c r="E23" s="5"/>
      <c r="F23" s="5"/>
      <c r="G23" s="7">
        <v>5782</v>
      </c>
      <c r="H23" s="7">
        <v>489</v>
      </c>
      <c r="I23" s="7">
        <v>1426</v>
      </c>
      <c r="J23" s="8"/>
      <c r="K23" s="9"/>
      <c r="L23" s="9"/>
      <c r="M23" s="9"/>
    </row>
    <row r="24" spans="1:13" ht="15.75" customHeight="1" x14ac:dyDescent="0.2">
      <c r="A24" s="5">
        <v>10</v>
      </c>
      <c r="B24" s="6" t="s">
        <v>59</v>
      </c>
      <c r="C24" s="5" t="s">
        <v>40</v>
      </c>
      <c r="D24" s="5"/>
      <c r="E24" s="5"/>
      <c r="F24" s="5"/>
      <c r="G24" s="7">
        <v>2858</v>
      </c>
      <c r="H24" s="7">
        <v>294</v>
      </c>
      <c r="I24" s="7">
        <v>800</v>
      </c>
      <c r="J24" s="8"/>
      <c r="K24" s="9"/>
      <c r="L24" s="9"/>
      <c r="M24" s="9"/>
    </row>
    <row r="25" spans="1:13" ht="15.75" customHeight="1" x14ac:dyDescent="0.2">
      <c r="A25" s="5">
        <v>11</v>
      </c>
      <c r="B25" s="6" t="s">
        <v>45</v>
      </c>
      <c r="C25" s="5" t="s">
        <v>40</v>
      </c>
      <c r="D25" s="5"/>
      <c r="E25" s="5"/>
      <c r="F25" s="5"/>
      <c r="G25" s="7">
        <v>8455</v>
      </c>
      <c r="H25" s="7"/>
      <c r="I25" s="7">
        <v>2220</v>
      </c>
      <c r="J25" s="8"/>
      <c r="K25" s="9"/>
      <c r="L25" s="9"/>
      <c r="M25" s="9"/>
    </row>
    <row r="26" spans="1:13" ht="15.75" customHeight="1" x14ac:dyDescent="0.2">
      <c r="A26" s="5">
        <v>12</v>
      </c>
      <c r="B26" s="6" t="s">
        <v>14</v>
      </c>
      <c r="C26" s="5" t="s">
        <v>40</v>
      </c>
      <c r="D26" s="5"/>
      <c r="E26" s="5"/>
      <c r="F26" s="5"/>
      <c r="G26" s="7">
        <v>49927</v>
      </c>
      <c r="H26" s="7">
        <f>891+7902</f>
        <v>8793</v>
      </c>
      <c r="I26" s="7">
        <v>16323</v>
      </c>
      <c r="J26" s="8"/>
      <c r="K26" s="9"/>
      <c r="L26" s="9"/>
      <c r="M26" s="9"/>
    </row>
    <row r="27" spans="1:13" ht="15.75" customHeight="1" x14ac:dyDescent="0.2">
      <c r="A27" s="5">
        <v>13</v>
      </c>
      <c r="B27" s="6" t="s">
        <v>51</v>
      </c>
      <c r="C27" s="5" t="s">
        <v>40</v>
      </c>
      <c r="D27" s="5"/>
      <c r="E27" s="5"/>
      <c r="F27" s="5"/>
      <c r="G27" s="7">
        <v>10709</v>
      </c>
      <c r="H27" s="7">
        <v>555</v>
      </c>
      <c r="I27" s="7">
        <v>1864</v>
      </c>
      <c r="J27" s="8"/>
      <c r="K27" s="9"/>
      <c r="L27" s="9"/>
      <c r="M27" s="9"/>
    </row>
    <row r="28" spans="1:13" ht="15.75" customHeight="1" x14ac:dyDescent="0.2">
      <c r="A28" s="5">
        <v>14</v>
      </c>
      <c r="B28" s="6" t="s">
        <v>18</v>
      </c>
      <c r="C28" s="5" t="s">
        <v>40</v>
      </c>
      <c r="D28" s="5"/>
      <c r="E28" s="5"/>
      <c r="F28" s="5"/>
      <c r="G28" s="7">
        <v>54160</v>
      </c>
      <c r="H28" s="7">
        <v>3624</v>
      </c>
      <c r="I28" s="7">
        <v>17407</v>
      </c>
      <c r="J28" s="8"/>
      <c r="K28" s="9"/>
      <c r="L28" s="9"/>
      <c r="M28" s="9"/>
    </row>
    <row r="29" spans="1:13" ht="15.75" customHeight="1" x14ac:dyDescent="0.2">
      <c r="A29" s="5">
        <v>15</v>
      </c>
      <c r="B29" s="10" t="s">
        <v>60</v>
      </c>
      <c r="C29" s="5" t="s">
        <v>40</v>
      </c>
      <c r="D29" s="5"/>
      <c r="E29" s="5"/>
      <c r="F29" s="5"/>
      <c r="G29" s="7">
        <v>4174</v>
      </c>
      <c r="H29" s="7">
        <v>56</v>
      </c>
      <c r="I29" s="7">
        <v>1009</v>
      </c>
      <c r="J29" s="8"/>
      <c r="K29" s="9"/>
      <c r="L29" s="9"/>
      <c r="M29" s="9"/>
    </row>
    <row r="30" spans="1:13" ht="15.75" customHeight="1" x14ac:dyDescent="0.2">
      <c r="A30" s="5">
        <v>16</v>
      </c>
      <c r="B30" s="10" t="s">
        <v>17</v>
      </c>
      <c r="C30" s="5" t="s">
        <v>40</v>
      </c>
      <c r="D30" s="5"/>
      <c r="E30" s="5"/>
      <c r="F30" s="5"/>
      <c r="G30" s="7">
        <v>52837</v>
      </c>
      <c r="H30" s="7">
        <f>35026+1915-773</f>
        <v>36168</v>
      </c>
      <c r="I30" s="7">
        <v>11354</v>
      </c>
      <c r="J30" s="8"/>
      <c r="K30" s="9"/>
      <c r="L30" s="9"/>
      <c r="M30" s="9"/>
    </row>
    <row r="31" spans="1:13" ht="15.75" customHeight="1" x14ac:dyDescent="0.2">
      <c r="A31" s="5">
        <v>17</v>
      </c>
      <c r="B31" s="10" t="s">
        <v>61</v>
      </c>
      <c r="C31" s="5" t="s">
        <v>40</v>
      </c>
      <c r="D31" s="5"/>
      <c r="E31" s="5"/>
      <c r="F31" s="5"/>
      <c r="G31" s="7">
        <v>7941</v>
      </c>
      <c r="H31" s="7">
        <v>403</v>
      </c>
      <c r="I31" s="7">
        <v>1051</v>
      </c>
      <c r="J31" s="8"/>
      <c r="K31" s="9"/>
      <c r="L31" s="9"/>
      <c r="M31" s="9"/>
    </row>
    <row r="32" spans="1:13" ht="15.75" customHeight="1" x14ac:dyDescent="0.2">
      <c r="A32" s="5">
        <v>18</v>
      </c>
      <c r="B32" s="6" t="s">
        <v>41</v>
      </c>
      <c r="C32" s="5" t="s">
        <v>40</v>
      </c>
      <c r="D32" s="5"/>
      <c r="E32" s="5"/>
      <c r="F32" s="5"/>
      <c r="G32" s="7">
        <v>28615</v>
      </c>
      <c r="H32" s="7">
        <f>15590+715</f>
        <v>16305</v>
      </c>
      <c r="I32" s="7">
        <v>4148</v>
      </c>
      <c r="J32" s="8"/>
      <c r="K32" s="9"/>
      <c r="L32" s="9"/>
      <c r="M32" s="9"/>
    </row>
    <row r="33" spans="1:13" ht="15.75" customHeight="1" x14ac:dyDescent="0.2">
      <c r="A33" s="5">
        <v>19</v>
      </c>
      <c r="B33" s="6" t="s">
        <v>62</v>
      </c>
      <c r="C33" s="5" t="s">
        <v>40</v>
      </c>
      <c r="D33" s="5"/>
      <c r="E33" s="5"/>
      <c r="F33" s="5"/>
      <c r="G33" s="7">
        <v>11367</v>
      </c>
      <c r="H33" s="7">
        <f>9+91</f>
        <v>100</v>
      </c>
      <c r="I33" s="7">
        <v>2925</v>
      </c>
      <c r="J33" s="8"/>
      <c r="K33" s="9"/>
      <c r="L33" s="9"/>
      <c r="M33" s="9"/>
    </row>
    <row r="34" spans="1:13" ht="15.75" customHeight="1" x14ac:dyDescent="0.2">
      <c r="A34" s="5">
        <v>20</v>
      </c>
      <c r="B34" s="6" t="s">
        <v>49</v>
      </c>
      <c r="C34" s="5" t="s">
        <v>40</v>
      </c>
      <c r="D34" s="5"/>
      <c r="E34" s="5"/>
      <c r="F34" s="5"/>
      <c r="G34" s="7">
        <v>969</v>
      </c>
      <c r="H34" s="7"/>
      <c r="I34" s="7">
        <v>150</v>
      </c>
      <c r="J34" s="8"/>
      <c r="K34" s="9"/>
      <c r="L34" s="9"/>
      <c r="M34" s="9"/>
    </row>
    <row r="35" spans="1:13" ht="15.75" customHeight="1" x14ac:dyDescent="0.2">
      <c r="A35" s="5">
        <v>21</v>
      </c>
      <c r="B35" s="6" t="s">
        <v>20</v>
      </c>
      <c r="C35" s="5" t="s">
        <v>40</v>
      </c>
      <c r="D35" s="5"/>
      <c r="E35" s="5"/>
      <c r="F35" s="5"/>
      <c r="G35" s="7">
        <v>51651</v>
      </c>
      <c r="H35" s="7">
        <v>6838</v>
      </c>
      <c r="I35" s="7">
        <v>14487</v>
      </c>
      <c r="J35" s="8"/>
      <c r="K35" s="9"/>
      <c r="L35" s="9"/>
      <c r="M35" s="9"/>
    </row>
    <row r="36" spans="1:13" ht="15.75" customHeight="1" x14ac:dyDescent="0.2">
      <c r="A36" s="5">
        <v>22</v>
      </c>
      <c r="B36" s="6" t="s">
        <v>22</v>
      </c>
      <c r="C36" s="5" t="s">
        <v>40</v>
      </c>
      <c r="D36" s="5"/>
      <c r="E36" s="5"/>
      <c r="F36" s="5"/>
      <c r="G36" s="7">
        <v>87874</v>
      </c>
      <c r="H36" s="7">
        <f>36+21091</f>
        <v>21127</v>
      </c>
      <c r="I36" s="7">
        <v>24122</v>
      </c>
      <c r="J36" s="8"/>
      <c r="K36" s="9"/>
      <c r="L36" s="9"/>
      <c r="M36" s="9"/>
    </row>
    <row r="37" spans="1:13" ht="15.75" customHeight="1" x14ac:dyDescent="0.2">
      <c r="A37" s="5">
        <v>23</v>
      </c>
      <c r="B37" s="6" t="s">
        <v>55</v>
      </c>
      <c r="C37" s="5" t="s">
        <v>40</v>
      </c>
      <c r="D37" s="5"/>
      <c r="E37" s="5"/>
      <c r="F37" s="5"/>
      <c r="G37" s="7">
        <v>72364</v>
      </c>
      <c r="H37" s="7">
        <f>319+14193</f>
        <v>14512</v>
      </c>
      <c r="I37" s="7">
        <v>54641</v>
      </c>
      <c r="J37" s="8"/>
      <c r="K37" s="9"/>
      <c r="L37" s="9"/>
      <c r="M37" s="9"/>
    </row>
    <row r="38" spans="1:13" ht="15.75" customHeight="1" x14ac:dyDescent="0.2">
      <c r="A38" s="5">
        <v>24</v>
      </c>
      <c r="B38" s="6" t="s">
        <v>19</v>
      </c>
      <c r="C38" s="5" t="s">
        <v>40</v>
      </c>
      <c r="D38" s="5"/>
      <c r="E38" s="5"/>
      <c r="F38" s="5"/>
      <c r="G38" s="7">
        <v>28859</v>
      </c>
      <c r="H38" s="7">
        <f>13181+3351</f>
        <v>16532</v>
      </c>
      <c r="I38" s="7">
        <v>13443</v>
      </c>
      <c r="J38" s="8"/>
      <c r="K38" s="9"/>
      <c r="L38" s="9"/>
      <c r="M38" s="9"/>
    </row>
    <row r="39" spans="1:13" ht="15.75" customHeight="1" x14ac:dyDescent="0.2">
      <c r="A39" s="5">
        <v>25</v>
      </c>
      <c r="B39" s="6" t="s">
        <v>24</v>
      </c>
      <c r="C39" s="5" t="s">
        <v>40</v>
      </c>
      <c r="D39" s="5"/>
      <c r="E39" s="5"/>
      <c r="F39" s="5"/>
      <c r="G39" s="7">
        <v>75033</v>
      </c>
      <c r="H39" s="7">
        <f>1999+9809</f>
        <v>11808</v>
      </c>
      <c r="I39" s="7">
        <v>26305</v>
      </c>
      <c r="J39" s="8"/>
      <c r="K39" s="9"/>
      <c r="L39" s="9"/>
      <c r="M39" s="9"/>
    </row>
    <row r="40" spans="1:13" ht="15.75" customHeight="1" x14ac:dyDescent="0.2">
      <c r="A40" s="5">
        <v>26</v>
      </c>
      <c r="B40" s="6" t="s">
        <v>48</v>
      </c>
      <c r="C40" s="5" t="s">
        <v>40</v>
      </c>
      <c r="D40" s="5"/>
      <c r="E40" s="5"/>
      <c r="F40" s="5"/>
      <c r="G40" s="7">
        <v>1825</v>
      </c>
      <c r="H40" s="7"/>
      <c r="I40" s="7">
        <v>143</v>
      </c>
      <c r="J40" s="8"/>
      <c r="K40" s="9"/>
      <c r="L40" s="9"/>
      <c r="M40" s="9"/>
    </row>
    <row r="41" spans="1:13" ht="15.75" customHeight="1" x14ac:dyDescent="0.2">
      <c r="A41" s="5">
        <v>27</v>
      </c>
      <c r="B41" s="6" t="s">
        <v>42</v>
      </c>
      <c r="C41" s="5" t="s">
        <v>40</v>
      </c>
      <c r="D41" s="5"/>
      <c r="E41" s="5"/>
      <c r="F41" s="5"/>
      <c r="G41" s="7">
        <v>16239</v>
      </c>
      <c r="H41" s="7">
        <v>211</v>
      </c>
      <c r="I41" s="7">
        <v>1565</v>
      </c>
      <c r="J41" s="8"/>
      <c r="K41" s="9"/>
      <c r="L41" s="9"/>
      <c r="M41" s="9"/>
    </row>
    <row r="42" spans="1:13" ht="15.75" customHeight="1" x14ac:dyDescent="0.2">
      <c r="A42" s="5">
        <v>28</v>
      </c>
      <c r="B42" s="6" t="s">
        <v>54</v>
      </c>
      <c r="C42" s="5" t="s">
        <v>40</v>
      </c>
      <c r="D42" s="5"/>
      <c r="E42" s="5"/>
      <c r="F42" s="5"/>
      <c r="G42" s="7">
        <v>5593</v>
      </c>
      <c r="H42" s="7">
        <v>1298</v>
      </c>
      <c r="I42" s="7">
        <v>1357</v>
      </c>
      <c r="J42" s="8"/>
      <c r="K42" s="9"/>
      <c r="L42" s="9"/>
      <c r="M42" s="9"/>
    </row>
    <row r="43" spans="1:13" ht="15.75" customHeight="1" x14ac:dyDescent="0.2">
      <c r="A43" s="5">
        <v>29</v>
      </c>
      <c r="B43" s="6" t="s">
        <v>43</v>
      </c>
      <c r="C43" s="5" t="s">
        <v>40</v>
      </c>
      <c r="D43" s="5"/>
      <c r="E43" s="5"/>
      <c r="F43" s="5"/>
      <c r="G43" s="7">
        <v>7255</v>
      </c>
      <c r="H43" s="7">
        <v>65</v>
      </c>
      <c r="I43" s="7">
        <v>1551</v>
      </c>
      <c r="J43" s="8"/>
      <c r="K43" s="9"/>
      <c r="L43" s="9"/>
      <c r="M43" s="9"/>
    </row>
    <row r="44" spans="1:13" ht="15.75" customHeight="1" x14ac:dyDescent="0.2">
      <c r="A44" s="5">
        <v>30</v>
      </c>
      <c r="B44" s="6" t="s">
        <v>63</v>
      </c>
      <c r="C44" s="5" t="s">
        <v>40</v>
      </c>
      <c r="D44" s="5"/>
      <c r="E44" s="5"/>
      <c r="F44" s="5"/>
      <c r="G44" s="7">
        <v>27737</v>
      </c>
      <c r="H44" s="7">
        <f>238+3345</f>
        <v>3583</v>
      </c>
      <c r="I44" s="7">
        <v>14397</v>
      </c>
      <c r="J44" s="8"/>
      <c r="K44" s="9"/>
      <c r="L44" s="9"/>
      <c r="M44" s="9"/>
    </row>
    <row r="45" spans="1:13" ht="15.75" customHeight="1" x14ac:dyDescent="0.2">
      <c r="A45" s="5">
        <v>31</v>
      </c>
      <c r="B45" s="6" t="s">
        <v>64</v>
      </c>
      <c r="C45" s="5" t="s">
        <v>40</v>
      </c>
      <c r="D45" s="5"/>
      <c r="E45" s="5"/>
      <c r="F45" s="5"/>
      <c r="G45" s="7">
        <v>2108</v>
      </c>
      <c r="H45" s="7"/>
      <c r="I45" s="7">
        <v>454</v>
      </c>
      <c r="J45" s="8"/>
      <c r="K45" s="9"/>
      <c r="L45" s="9"/>
      <c r="M45" s="9"/>
    </row>
    <row r="46" spans="1:13" ht="15.75" customHeight="1" x14ac:dyDescent="0.2">
      <c r="A46" s="5">
        <v>32</v>
      </c>
      <c r="B46" s="10" t="s">
        <v>65</v>
      </c>
      <c r="C46" s="5" t="s">
        <v>40</v>
      </c>
      <c r="D46" s="5"/>
      <c r="E46" s="5"/>
      <c r="F46" s="5"/>
      <c r="G46" s="7">
        <v>43733</v>
      </c>
      <c r="H46" s="7">
        <f>2812+4735</f>
        <v>7547</v>
      </c>
      <c r="I46" s="7">
        <v>13825</v>
      </c>
      <c r="J46" s="8"/>
      <c r="K46" s="9"/>
      <c r="L46" s="9"/>
      <c r="M46" s="9"/>
    </row>
    <row r="47" spans="1:13" ht="15.75" customHeight="1" x14ac:dyDescent="0.2">
      <c r="A47" s="5">
        <v>33</v>
      </c>
      <c r="B47" s="10" t="s">
        <v>52</v>
      </c>
      <c r="C47" s="5" t="s">
        <v>40</v>
      </c>
      <c r="D47" s="5"/>
      <c r="E47" s="5"/>
      <c r="F47" s="5"/>
      <c r="G47" s="7">
        <v>16009</v>
      </c>
      <c r="H47" s="7">
        <v>1403</v>
      </c>
      <c r="I47" s="7">
        <v>7651</v>
      </c>
      <c r="J47" s="8"/>
      <c r="K47" s="9"/>
      <c r="L47" s="9"/>
      <c r="M47" s="9"/>
    </row>
    <row r="48" spans="1:13" ht="15.75" customHeight="1" x14ac:dyDescent="0.2">
      <c r="A48" s="5">
        <v>34</v>
      </c>
      <c r="B48" s="10" t="s">
        <v>21</v>
      </c>
      <c r="C48" s="5" t="s">
        <v>40</v>
      </c>
      <c r="D48" s="5"/>
      <c r="E48" s="5"/>
      <c r="F48" s="5"/>
      <c r="G48" s="7">
        <f>50902+116+330</f>
        <v>51348</v>
      </c>
      <c r="H48" s="7">
        <f>2002+5089</f>
        <v>7091</v>
      </c>
      <c r="I48" s="7">
        <v>17207</v>
      </c>
      <c r="J48" s="8"/>
      <c r="K48" s="9"/>
      <c r="L48" s="9"/>
      <c r="M48" s="9"/>
    </row>
    <row r="49" spans="1:13" ht="15.75" customHeight="1" x14ac:dyDescent="0.2">
      <c r="A49" s="5">
        <v>35</v>
      </c>
      <c r="B49" s="10" t="s">
        <v>50</v>
      </c>
      <c r="C49" s="5" t="s">
        <v>40</v>
      </c>
      <c r="D49" s="5"/>
      <c r="E49" s="5"/>
      <c r="F49" s="5"/>
      <c r="G49" s="7">
        <v>5787</v>
      </c>
      <c r="H49" s="7">
        <v>510</v>
      </c>
      <c r="I49" s="7">
        <v>961</v>
      </c>
      <c r="J49" s="8"/>
      <c r="K49" s="9"/>
      <c r="L49" s="9"/>
      <c r="M49" s="9"/>
    </row>
    <row r="50" spans="1:13" ht="15.75" customHeight="1" x14ac:dyDescent="0.2">
      <c r="A50" s="5">
        <v>36</v>
      </c>
      <c r="B50" s="10" t="s">
        <v>23</v>
      </c>
      <c r="C50" s="5" t="s">
        <v>40</v>
      </c>
      <c r="D50" s="5"/>
      <c r="E50" s="5"/>
      <c r="F50" s="5"/>
      <c r="G50" s="7">
        <v>23887</v>
      </c>
      <c r="H50" s="7">
        <v>1739</v>
      </c>
      <c r="I50" s="7">
        <v>10219</v>
      </c>
      <c r="J50" s="8"/>
      <c r="K50" s="9"/>
      <c r="L50" s="9"/>
      <c r="M50" s="9"/>
    </row>
    <row r="51" spans="1:13" ht="15.75" customHeight="1" x14ac:dyDescent="0.2">
      <c r="A51" s="5">
        <v>37</v>
      </c>
      <c r="B51" s="10" t="s">
        <v>44</v>
      </c>
      <c r="C51" s="5" t="s">
        <v>40</v>
      </c>
      <c r="D51" s="5"/>
      <c r="E51" s="5"/>
      <c r="F51" s="5"/>
      <c r="G51" s="7">
        <v>6922</v>
      </c>
      <c r="H51" s="7"/>
      <c r="I51" s="7">
        <v>1393</v>
      </c>
      <c r="J51" s="8"/>
      <c r="K51" s="9"/>
      <c r="L51" s="9"/>
      <c r="M51" s="9"/>
    </row>
    <row r="52" spans="1:13" ht="13.5" customHeight="1" x14ac:dyDescent="0.2">
      <c r="A52" s="16" t="s">
        <v>4</v>
      </c>
      <c r="B52" s="16"/>
      <c r="C52" s="11" t="s">
        <v>40</v>
      </c>
      <c r="D52" s="12" t="s">
        <v>66</v>
      </c>
      <c r="E52" s="12" t="s">
        <v>66</v>
      </c>
      <c r="F52" s="12" t="s">
        <v>66</v>
      </c>
      <c r="G52" s="12">
        <f>SUM(G15:G51)</f>
        <v>915827</v>
      </c>
      <c r="H52" s="12">
        <f t="shared" ref="H52:I52" si="0">SUM(H15:H51)</f>
        <v>197511</v>
      </c>
      <c r="I52" s="12">
        <f t="shared" si="0"/>
        <v>345084</v>
      </c>
    </row>
    <row r="53" spans="1:13" x14ac:dyDescent="0.2">
      <c r="G53" s="13"/>
      <c r="H53" s="13"/>
      <c r="I53" s="13"/>
      <c r="J53" s="8"/>
    </row>
    <row r="54" spans="1:13" x14ac:dyDescent="0.2">
      <c r="G54" s="13"/>
      <c r="H54" s="13"/>
      <c r="I54" s="13"/>
    </row>
    <row r="58" spans="1:13" x14ac:dyDescent="0.2">
      <c r="C58" s="14"/>
      <c r="D58" s="14"/>
      <c r="E58" s="14"/>
      <c r="F58" s="14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21" workbookViewId="0">
      <selection activeCell="H52" sqref="H52:I52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5" t="s">
        <v>39</v>
      </c>
      <c r="I1" s="15"/>
    </row>
    <row r="2" spans="1:13" x14ac:dyDescent="0.2">
      <c r="H2" s="15" t="s">
        <v>26</v>
      </c>
      <c r="I2" s="15"/>
    </row>
    <row r="3" spans="1:13" x14ac:dyDescent="0.2">
      <c r="H3" s="15" t="s">
        <v>27</v>
      </c>
      <c r="I3" s="15"/>
    </row>
    <row r="4" spans="1:13" x14ac:dyDescent="0.2">
      <c r="H4" s="15" t="s">
        <v>28</v>
      </c>
      <c r="I4" s="15"/>
    </row>
    <row r="5" spans="1:13" x14ac:dyDescent="0.2">
      <c r="H5" s="15" t="s">
        <v>29</v>
      </c>
      <c r="I5" s="15"/>
    </row>
    <row r="6" spans="1:13" x14ac:dyDescent="0.2">
      <c r="C6" s="2"/>
      <c r="D6" s="2"/>
      <c r="E6" s="2"/>
      <c r="F6" s="2"/>
      <c r="G6" s="2"/>
      <c r="H6" s="15" t="s">
        <v>30</v>
      </c>
      <c r="I6" s="15"/>
    </row>
    <row r="7" spans="1:13" x14ac:dyDescent="0.2">
      <c r="G7" s="2"/>
      <c r="H7" s="15" t="s">
        <v>3</v>
      </c>
      <c r="I7" s="15"/>
    </row>
    <row r="9" spans="1:13" ht="12.75" customHeight="1" x14ac:dyDescent="0.2">
      <c r="A9" s="17" t="s">
        <v>31</v>
      </c>
      <c r="B9" s="17"/>
      <c r="C9" s="17"/>
      <c r="D9" s="17"/>
      <c r="E9" s="17"/>
      <c r="F9" s="17"/>
      <c r="G9" s="17"/>
      <c r="H9" s="17"/>
      <c r="I9" s="17"/>
      <c r="J9" s="3"/>
    </row>
    <row r="10" spans="1:13" ht="30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3"/>
    </row>
    <row r="12" spans="1:13" x14ac:dyDescent="0.2">
      <c r="A12" s="18" t="s">
        <v>0</v>
      </c>
      <c r="B12" s="21" t="s">
        <v>1</v>
      </c>
      <c r="C12" s="22" t="s">
        <v>2</v>
      </c>
      <c r="D12" s="21" t="s">
        <v>11</v>
      </c>
      <c r="E12" s="21"/>
      <c r="F12" s="21"/>
      <c r="G12" s="21"/>
      <c r="H12" s="21"/>
      <c r="I12" s="21"/>
    </row>
    <row r="13" spans="1:13" x14ac:dyDescent="0.2">
      <c r="A13" s="19"/>
      <c r="B13" s="21"/>
      <c r="C13" s="23"/>
      <c r="D13" s="4" t="s">
        <v>32</v>
      </c>
      <c r="E13" s="4" t="s">
        <v>33</v>
      </c>
      <c r="F13" s="4" t="s">
        <v>34</v>
      </c>
      <c r="G13" s="21" t="s">
        <v>35</v>
      </c>
      <c r="H13" s="21"/>
      <c r="I13" s="21"/>
    </row>
    <row r="14" spans="1:13" ht="28.5" customHeight="1" x14ac:dyDescent="0.2">
      <c r="A14" s="20"/>
      <c r="B14" s="21"/>
      <c r="C14" s="24"/>
      <c r="D14" s="4"/>
      <c r="E14" s="4"/>
      <c r="F14" s="4"/>
      <c r="G14" s="4" t="s">
        <v>36</v>
      </c>
      <c r="H14" s="4" t="s">
        <v>37</v>
      </c>
      <c r="I14" s="4" t="s">
        <v>38</v>
      </c>
    </row>
    <row r="15" spans="1:13" ht="15.75" customHeight="1" x14ac:dyDescent="0.2">
      <c r="A15" s="5">
        <v>1</v>
      </c>
      <c r="B15" s="6" t="s">
        <v>25</v>
      </c>
      <c r="C15" s="5" t="s">
        <v>40</v>
      </c>
      <c r="D15" s="5"/>
      <c r="E15" s="5"/>
      <c r="F15" s="5"/>
      <c r="G15" s="7">
        <v>24866</v>
      </c>
      <c r="H15" s="7">
        <v>5560</v>
      </c>
      <c r="I15" s="7">
        <v>40427</v>
      </c>
      <c r="J15" s="8"/>
      <c r="K15" s="9"/>
      <c r="L15" s="9"/>
      <c r="M15" s="9"/>
    </row>
    <row r="16" spans="1:13" ht="15.75" customHeight="1" x14ac:dyDescent="0.2">
      <c r="A16" s="5">
        <v>2</v>
      </c>
      <c r="B16" s="6" t="s">
        <v>47</v>
      </c>
      <c r="C16" s="5" t="s">
        <v>40</v>
      </c>
      <c r="D16" s="5"/>
      <c r="E16" s="5"/>
      <c r="F16" s="5"/>
      <c r="G16" s="7">
        <v>11077</v>
      </c>
      <c r="H16" s="7">
        <v>1515</v>
      </c>
      <c r="I16" s="7">
        <v>6937</v>
      </c>
      <c r="J16" s="8"/>
      <c r="K16" s="9"/>
      <c r="L16" s="9"/>
      <c r="M16" s="9"/>
    </row>
    <row r="17" spans="1:13" ht="15.75" customHeight="1" x14ac:dyDescent="0.2">
      <c r="A17" s="5">
        <v>3</v>
      </c>
      <c r="B17" s="6" t="s">
        <v>58</v>
      </c>
      <c r="C17" s="5" t="s">
        <v>40</v>
      </c>
      <c r="D17" s="5"/>
      <c r="E17" s="5"/>
      <c r="F17" s="5"/>
      <c r="G17" s="7">
        <v>2631</v>
      </c>
      <c r="H17" s="7"/>
      <c r="I17" s="7">
        <v>327</v>
      </c>
      <c r="J17" s="8"/>
      <c r="K17" s="9"/>
      <c r="L17" s="9"/>
      <c r="M17" s="9"/>
    </row>
    <row r="18" spans="1:13" ht="15.75" customHeight="1" x14ac:dyDescent="0.2">
      <c r="A18" s="5">
        <v>4</v>
      </c>
      <c r="B18" s="6" t="s">
        <v>15</v>
      </c>
      <c r="C18" s="5" t="s">
        <v>40</v>
      </c>
      <c r="D18" s="5"/>
      <c r="E18" s="5"/>
      <c r="F18" s="5"/>
      <c r="G18" s="7">
        <v>41361</v>
      </c>
      <c r="H18" s="7">
        <v>2371</v>
      </c>
      <c r="I18" s="7">
        <v>4814</v>
      </c>
      <c r="J18" s="8"/>
      <c r="K18" s="9"/>
      <c r="L18" s="9"/>
      <c r="M18" s="9"/>
    </row>
    <row r="19" spans="1:13" ht="15.75" customHeight="1" x14ac:dyDescent="0.2">
      <c r="A19" s="5">
        <v>5</v>
      </c>
      <c r="B19" s="6" t="s">
        <v>46</v>
      </c>
      <c r="C19" s="5" t="s">
        <v>40</v>
      </c>
      <c r="D19" s="5"/>
      <c r="E19" s="5"/>
      <c r="F19" s="5"/>
      <c r="G19" s="7">
        <v>4170</v>
      </c>
      <c r="H19" s="7">
        <v>207</v>
      </c>
      <c r="I19" s="7">
        <v>1859</v>
      </c>
      <c r="J19" s="8"/>
      <c r="K19" s="9"/>
      <c r="L19" s="9"/>
      <c r="M19" s="9"/>
    </row>
    <row r="20" spans="1:13" ht="15.75" customHeight="1" x14ac:dyDescent="0.2">
      <c r="A20" s="5">
        <v>6</v>
      </c>
      <c r="B20" s="6" t="s">
        <v>16</v>
      </c>
      <c r="C20" s="5" t="s">
        <v>40</v>
      </c>
      <c r="D20" s="5"/>
      <c r="E20" s="5"/>
      <c r="F20" s="5"/>
      <c r="G20" s="7">
        <v>57683</v>
      </c>
      <c r="H20" s="7">
        <f>24240+11745</f>
        <v>35985</v>
      </c>
      <c r="I20" s="7">
        <v>29581</v>
      </c>
      <c r="J20" s="8"/>
      <c r="K20" s="9"/>
      <c r="L20" s="9"/>
      <c r="M20" s="9"/>
    </row>
    <row r="21" spans="1:13" ht="15.75" customHeight="1" x14ac:dyDescent="0.2">
      <c r="A21" s="5">
        <v>7</v>
      </c>
      <c r="B21" s="6" t="s">
        <v>56</v>
      </c>
      <c r="C21" s="5" t="s">
        <v>40</v>
      </c>
      <c r="D21" s="5"/>
      <c r="E21" s="5"/>
      <c r="F21" s="5"/>
      <c r="G21" s="7">
        <v>10532</v>
      </c>
      <c r="H21" s="7">
        <f>6094+2031</f>
        <v>8125</v>
      </c>
      <c r="I21" s="7">
        <v>3348</v>
      </c>
      <c r="J21" s="8"/>
      <c r="K21" s="9"/>
      <c r="L21" s="9"/>
      <c r="M21" s="9"/>
    </row>
    <row r="22" spans="1:13" ht="15.75" customHeight="1" x14ac:dyDescent="0.2">
      <c r="A22" s="5">
        <v>8</v>
      </c>
      <c r="B22" s="6" t="s">
        <v>53</v>
      </c>
      <c r="C22" s="5" t="s">
        <v>40</v>
      </c>
      <c r="D22" s="5"/>
      <c r="E22" s="5"/>
      <c r="F22" s="5"/>
      <c r="G22" s="7">
        <v>4946</v>
      </c>
      <c r="H22" s="7">
        <v>438</v>
      </c>
      <c r="I22" s="7">
        <v>3797</v>
      </c>
      <c r="J22" s="8"/>
      <c r="K22" s="9"/>
      <c r="L22" s="9"/>
      <c r="M22" s="9"/>
    </row>
    <row r="23" spans="1:13" ht="15.75" customHeight="1" x14ac:dyDescent="0.2">
      <c r="A23" s="5">
        <v>9</v>
      </c>
      <c r="B23" s="6" t="s">
        <v>57</v>
      </c>
      <c r="C23" s="5" t="s">
        <v>40</v>
      </c>
      <c r="D23" s="5"/>
      <c r="E23" s="5"/>
      <c r="F23" s="5"/>
      <c r="G23" s="7">
        <v>6388</v>
      </c>
      <c r="H23" s="7">
        <v>450</v>
      </c>
      <c r="I23" s="7">
        <v>2745</v>
      </c>
      <c r="J23" s="8"/>
      <c r="K23" s="9"/>
      <c r="L23" s="9"/>
      <c r="M23" s="9"/>
    </row>
    <row r="24" spans="1:13" ht="15.75" customHeight="1" x14ac:dyDescent="0.2">
      <c r="A24" s="5">
        <v>10</v>
      </c>
      <c r="B24" s="6" t="s">
        <v>59</v>
      </c>
      <c r="C24" s="5" t="s">
        <v>40</v>
      </c>
      <c r="D24" s="5"/>
      <c r="E24" s="5"/>
      <c r="F24" s="5"/>
      <c r="G24" s="7">
        <v>2305</v>
      </c>
      <c r="H24" s="7">
        <v>769</v>
      </c>
      <c r="I24" s="7">
        <v>1005</v>
      </c>
      <c r="J24" s="8"/>
      <c r="K24" s="9"/>
      <c r="L24" s="9"/>
      <c r="M24" s="9"/>
    </row>
    <row r="25" spans="1:13" ht="15.75" customHeight="1" x14ac:dyDescent="0.2">
      <c r="A25" s="5">
        <v>11</v>
      </c>
      <c r="B25" s="6" t="s">
        <v>45</v>
      </c>
      <c r="C25" s="5" t="s">
        <v>40</v>
      </c>
      <c r="D25" s="5"/>
      <c r="E25" s="5"/>
      <c r="F25" s="5"/>
      <c r="G25" s="7">
        <v>10980</v>
      </c>
      <c r="H25" s="7"/>
      <c r="I25" s="7">
        <v>3561</v>
      </c>
      <c r="J25" s="8"/>
      <c r="K25" s="9"/>
      <c r="L25" s="9"/>
      <c r="M25" s="9"/>
    </row>
    <row r="26" spans="1:13" ht="15.75" customHeight="1" x14ac:dyDescent="0.2">
      <c r="A26" s="5">
        <v>12</v>
      </c>
      <c r="B26" s="6" t="s">
        <v>14</v>
      </c>
      <c r="C26" s="5" t="s">
        <v>40</v>
      </c>
      <c r="D26" s="5"/>
      <c r="E26" s="5"/>
      <c r="F26" s="5"/>
      <c r="G26" s="7">
        <v>64741</v>
      </c>
      <c r="H26" s="7">
        <f>164+9488</f>
        <v>9652</v>
      </c>
      <c r="I26" s="7">
        <v>23480</v>
      </c>
      <c r="J26" s="8"/>
      <c r="K26" s="9"/>
      <c r="L26" s="9"/>
      <c r="M26" s="9"/>
    </row>
    <row r="27" spans="1:13" ht="15.75" customHeight="1" x14ac:dyDescent="0.2">
      <c r="A27" s="5">
        <v>13</v>
      </c>
      <c r="B27" s="6" t="s">
        <v>51</v>
      </c>
      <c r="C27" s="5" t="s">
        <v>40</v>
      </c>
      <c r="D27" s="5"/>
      <c r="E27" s="5"/>
      <c r="F27" s="5"/>
      <c r="G27" s="7">
        <v>8405</v>
      </c>
      <c r="H27" s="7">
        <v>250</v>
      </c>
      <c r="I27" s="7">
        <v>2376</v>
      </c>
      <c r="J27" s="8"/>
      <c r="K27" s="9"/>
      <c r="L27" s="9"/>
      <c r="M27" s="9"/>
    </row>
    <row r="28" spans="1:13" ht="15.75" customHeight="1" x14ac:dyDescent="0.2">
      <c r="A28" s="5">
        <v>14</v>
      </c>
      <c r="B28" s="6" t="s">
        <v>18</v>
      </c>
      <c r="C28" s="5" t="s">
        <v>40</v>
      </c>
      <c r="D28" s="5"/>
      <c r="E28" s="5"/>
      <c r="F28" s="5"/>
      <c r="G28" s="7">
        <v>59239</v>
      </c>
      <c r="H28" s="7">
        <v>3637</v>
      </c>
      <c r="I28" s="7">
        <v>16674</v>
      </c>
      <c r="J28" s="8"/>
      <c r="K28" s="9"/>
      <c r="L28" s="9"/>
      <c r="M28" s="9"/>
    </row>
    <row r="29" spans="1:13" ht="15.75" customHeight="1" x14ac:dyDescent="0.2">
      <c r="A29" s="5">
        <v>15</v>
      </c>
      <c r="B29" s="10" t="s">
        <v>60</v>
      </c>
      <c r="C29" s="5" t="s">
        <v>40</v>
      </c>
      <c r="D29" s="5"/>
      <c r="E29" s="5"/>
      <c r="F29" s="5"/>
      <c r="G29" s="7">
        <v>5506</v>
      </c>
      <c r="H29" s="7">
        <v>106</v>
      </c>
      <c r="I29" s="7">
        <v>1316</v>
      </c>
      <c r="J29" s="8"/>
      <c r="K29" s="9"/>
      <c r="L29" s="9"/>
      <c r="M29" s="9"/>
    </row>
    <row r="30" spans="1:13" ht="15.75" customHeight="1" x14ac:dyDescent="0.2">
      <c r="A30" s="5">
        <v>16</v>
      </c>
      <c r="B30" s="10" t="s">
        <v>17</v>
      </c>
      <c r="C30" s="5" t="s">
        <v>40</v>
      </c>
      <c r="D30" s="5"/>
      <c r="E30" s="5"/>
      <c r="F30" s="5"/>
      <c r="G30" s="7">
        <v>50755</v>
      </c>
      <c r="H30" s="7">
        <f>39717+1283</f>
        <v>41000</v>
      </c>
      <c r="I30" s="7">
        <v>12884</v>
      </c>
      <c r="J30" s="8"/>
      <c r="K30" s="9"/>
      <c r="L30" s="9"/>
      <c r="M30" s="9"/>
    </row>
    <row r="31" spans="1:13" ht="15.75" customHeight="1" x14ac:dyDescent="0.2">
      <c r="A31" s="5">
        <v>17</v>
      </c>
      <c r="B31" s="10" t="s">
        <v>61</v>
      </c>
      <c r="C31" s="5" t="s">
        <v>40</v>
      </c>
      <c r="D31" s="5"/>
      <c r="E31" s="5"/>
      <c r="F31" s="5"/>
      <c r="G31" s="7">
        <v>14185</v>
      </c>
      <c r="H31" s="7">
        <v>288</v>
      </c>
      <c r="I31" s="7">
        <v>1754</v>
      </c>
      <c r="J31" s="8"/>
      <c r="K31" s="9"/>
      <c r="L31" s="9"/>
      <c r="M31" s="9"/>
    </row>
    <row r="32" spans="1:13" ht="15.75" customHeight="1" x14ac:dyDescent="0.2">
      <c r="A32" s="5">
        <v>18</v>
      </c>
      <c r="B32" s="6" t="s">
        <v>41</v>
      </c>
      <c r="C32" s="5" t="s">
        <v>40</v>
      </c>
      <c r="D32" s="5"/>
      <c r="E32" s="5"/>
      <c r="F32" s="5"/>
      <c r="G32" s="7">
        <v>29479</v>
      </c>
      <c r="H32" s="7">
        <f>618+20668</f>
        <v>21286</v>
      </c>
      <c r="I32" s="7">
        <v>5794</v>
      </c>
      <c r="J32" s="8"/>
      <c r="K32" s="9"/>
      <c r="L32" s="9"/>
      <c r="M32" s="9"/>
    </row>
    <row r="33" spans="1:13" ht="15.75" customHeight="1" x14ac:dyDescent="0.2">
      <c r="A33" s="5">
        <v>19</v>
      </c>
      <c r="B33" s="6" t="s">
        <v>62</v>
      </c>
      <c r="C33" s="5" t="s">
        <v>40</v>
      </c>
      <c r="D33" s="5"/>
      <c r="E33" s="5"/>
      <c r="F33" s="5"/>
      <c r="G33" s="7">
        <v>10913</v>
      </c>
      <c r="H33" s="7">
        <v>85</v>
      </c>
      <c r="I33" s="7">
        <v>3974</v>
      </c>
      <c r="J33" s="8"/>
      <c r="K33" s="9"/>
      <c r="L33" s="9"/>
      <c r="M33" s="9"/>
    </row>
    <row r="34" spans="1:13" ht="15.75" customHeight="1" x14ac:dyDescent="0.2">
      <c r="A34" s="5">
        <v>20</v>
      </c>
      <c r="B34" s="6" t="s">
        <v>49</v>
      </c>
      <c r="C34" s="5" t="s">
        <v>40</v>
      </c>
      <c r="D34" s="5"/>
      <c r="E34" s="5"/>
      <c r="F34" s="5"/>
      <c r="G34" s="7">
        <v>850</v>
      </c>
      <c r="H34" s="7"/>
      <c r="I34" s="7">
        <v>172</v>
      </c>
      <c r="J34" s="8"/>
      <c r="K34" s="9"/>
      <c r="L34" s="9"/>
      <c r="M34" s="9"/>
    </row>
    <row r="35" spans="1:13" ht="15.75" customHeight="1" x14ac:dyDescent="0.2">
      <c r="A35" s="5">
        <v>21</v>
      </c>
      <c r="B35" s="6" t="s">
        <v>20</v>
      </c>
      <c r="C35" s="5" t="s">
        <v>40</v>
      </c>
      <c r="D35" s="5"/>
      <c r="E35" s="5"/>
      <c r="F35" s="5"/>
      <c r="G35" s="7">
        <v>70139</v>
      </c>
      <c r="H35" s="7">
        <v>5692</v>
      </c>
      <c r="I35" s="7">
        <v>16575</v>
      </c>
      <c r="J35" s="8"/>
      <c r="K35" s="9"/>
      <c r="L35" s="9"/>
      <c r="M35" s="9"/>
    </row>
    <row r="36" spans="1:13" ht="15.75" customHeight="1" x14ac:dyDescent="0.2">
      <c r="A36" s="5">
        <v>22</v>
      </c>
      <c r="B36" s="6" t="s">
        <v>22</v>
      </c>
      <c r="C36" s="5" t="s">
        <v>40</v>
      </c>
      <c r="D36" s="5"/>
      <c r="E36" s="5"/>
      <c r="F36" s="5"/>
      <c r="G36" s="7">
        <v>94874</v>
      </c>
      <c r="H36" s="7">
        <f>24+34560</f>
        <v>34584</v>
      </c>
      <c r="I36" s="7">
        <v>32652</v>
      </c>
      <c r="J36" s="8"/>
      <c r="K36" s="9"/>
      <c r="L36" s="9"/>
      <c r="M36" s="9"/>
    </row>
    <row r="37" spans="1:13" ht="15.75" customHeight="1" x14ac:dyDescent="0.2">
      <c r="A37" s="5">
        <v>23</v>
      </c>
      <c r="B37" s="6" t="s">
        <v>55</v>
      </c>
      <c r="C37" s="5" t="s">
        <v>40</v>
      </c>
      <c r="D37" s="5"/>
      <c r="E37" s="5"/>
      <c r="F37" s="5"/>
      <c r="G37" s="7">
        <v>67004</v>
      </c>
      <c r="H37" s="7">
        <f>348+15606</f>
        <v>15954</v>
      </c>
      <c r="I37" s="7">
        <v>74750</v>
      </c>
      <c r="J37" s="8"/>
      <c r="K37" s="9"/>
      <c r="L37" s="9"/>
      <c r="M37" s="9"/>
    </row>
    <row r="38" spans="1:13" ht="15.75" customHeight="1" x14ac:dyDescent="0.2">
      <c r="A38" s="5">
        <v>24</v>
      </c>
      <c r="B38" s="6" t="s">
        <v>19</v>
      </c>
      <c r="C38" s="5" t="s">
        <v>40</v>
      </c>
      <c r="D38" s="5"/>
      <c r="E38" s="5"/>
      <c r="F38" s="5"/>
      <c r="G38" s="7">
        <v>36748</v>
      </c>
      <c r="H38" s="7">
        <f>18607+3172</f>
        <v>21779</v>
      </c>
      <c r="I38" s="7">
        <v>16578</v>
      </c>
      <c r="J38" s="8"/>
      <c r="K38" s="9"/>
      <c r="L38" s="9"/>
      <c r="M38" s="9"/>
    </row>
    <row r="39" spans="1:13" ht="15.75" customHeight="1" x14ac:dyDescent="0.2">
      <c r="A39" s="5">
        <v>25</v>
      </c>
      <c r="B39" s="6" t="s">
        <v>24</v>
      </c>
      <c r="C39" s="5" t="s">
        <v>40</v>
      </c>
      <c r="D39" s="5"/>
      <c r="E39" s="5"/>
      <c r="F39" s="5"/>
      <c r="G39" s="7">
        <v>84234</v>
      </c>
      <c r="H39" s="7">
        <f>2469+9464</f>
        <v>11933</v>
      </c>
      <c r="I39" s="7">
        <v>30120</v>
      </c>
      <c r="J39" s="8"/>
      <c r="K39" s="9"/>
      <c r="L39" s="9"/>
      <c r="M39" s="9"/>
    </row>
    <row r="40" spans="1:13" ht="15.75" customHeight="1" x14ac:dyDescent="0.2">
      <c r="A40" s="5">
        <v>26</v>
      </c>
      <c r="B40" s="6" t="s">
        <v>48</v>
      </c>
      <c r="C40" s="5" t="s">
        <v>40</v>
      </c>
      <c r="D40" s="5"/>
      <c r="E40" s="5"/>
      <c r="F40" s="5"/>
      <c r="G40" s="7">
        <v>1673</v>
      </c>
      <c r="H40" s="7"/>
      <c r="I40" s="7">
        <v>386</v>
      </c>
      <c r="J40" s="8"/>
      <c r="K40" s="9"/>
      <c r="L40" s="9"/>
      <c r="M40" s="9"/>
    </row>
    <row r="41" spans="1:13" ht="15.75" customHeight="1" x14ac:dyDescent="0.2">
      <c r="A41" s="5">
        <v>27</v>
      </c>
      <c r="B41" s="6" t="s">
        <v>42</v>
      </c>
      <c r="C41" s="5" t="s">
        <v>40</v>
      </c>
      <c r="D41" s="5"/>
      <c r="E41" s="5"/>
      <c r="F41" s="5"/>
      <c r="G41" s="7">
        <v>10029</v>
      </c>
      <c r="H41" s="7">
        <v>789</v>
      </c>
      <c r="I41" s="7">
        <v>2476</v>
      </c>
      <c r="J41" s="8"/>
      <c r="K41" s="9"/>
      <c r="L41" s="9"/>
      <c r="M41" s="9"/>
    </row>
    <row r="42" spans="1:13" ht="15.75" customHeight="1" x14ac:dyDescent="0.2">
      <c r="A42" s="5">
        <v>28</v>
      </c>
      <c r="B42" s="6" t="s">
        <v>54</v>
      </c>
      <c r="C42" s="5" t="s">
        <v>40</v>
      </c>
      <c r="D42" s="5"/>
      <c r="E42" s="5"/>
      <c r="F42" s="5"/>
      <c r="G42" s="7">
        <v>5593</v>
      </c>
      <c r="H42" s="7">
        <v>1369</v>
      </c>
      <c r="I42" s="7">
        <v>1710</v>
      </c>
      <c r="J42" s="8"/>
      <c r="K42" s="9"/>
      <c r="L42" s="9"/>
      <c r="M42" s="9"/>
    </row>
    <row r="43" spans="1:13" ht="15.75" customHeight="1" x14ac:dyDescent="0.2">
      <c r="A43" s="5">
        <v>29</v>
      </c>
      <c r="B43" s="6" t="s">
        <v>43</v>
      </c>
      <c r="C43" s="5" t="s">
        <v>40</v>
      </c>
      <c r="D43" s="5"/>
      <c r="E43" s="5"/>
      <c r="F43" s="5"/>
      <c r="G43" s="7">
        <v>5841</v>
      </c>
      <c r="H43" s="7">
        <v>55</v>
      </c>
      <c r="I43" s="7">
        <v>2680</v>
      </c>
      <c r="J43" s="8"/>
      <c r="K43" s="9"/>
      <c r="L43" s="9"/>
      <c r="M43" s="9"/>
    </row>
    <row r="44" spans="1:13" ht="15.75" customHeight="1" x14ac:dyDescent="0.2">
      <c r="A44" s="5">
        <v>30</v>
      </c>
      <c r="B44" s="6" t="s">
        <v>63</v>
      </c>
      <c r="C44" s="5" t="s">
        <v>40</v>
      </c>
      <c r="D44" s="5"/>
      <c r="E44" s="5"/>
      <c r="F44" s="5"/>
      <c r="G44" s="7">
        <v>31273</v>
      </c>
      <c r="H44" s="7">
        <f>307+3595</f>
        <v>3902</v>
      </c>
      <c r="I44" s="7">
        <v>15645</v>
      </c>
      <c r="J44" s="8"/>
      <c r="K44" s="9"/>
      <c r="L44" s="9"/>
      <c r="M44" s="9"/>
    </row>
    <row r="45" spans="1:13" ht="15.75" customHeight="1" x14ac:dyDescent="0.2">
      <c r="A45" s="5">
        <v>31</v>
      </c>
      <c r="B45" s="6" t="s">
        <v>64</v>
      </c>
      <c r="C45" s="5" t="s">
        <v>40</v>
      </c>
      <c r="D45" s="5"/>
      <c r="E45" s="5"/>
      <c r="F45" s="5"/>
      <c r="G45" s="7">
        <v>1504</v>
      </c>
      <c r="H45" s="7"/>
      <c r="I45" s="7">
        <v>507</v>
      </c>
      <c r="J45" s="8"/>
      <c r="K45" s="9"/>
      <c r="L45" s="9"/>
      <c r="M45" s="9"/>
    </row>
    <row r="46" spans="1:13" ht="15.75" customHeight="1" x14ac:dyDescent="0.2">
      <c r="A46" s="5">
        <v>32</v>
      </c>
      <c r="B46" s="10" t="s">
        <v>65</v>
      </c>
      <c r="C46" s="5" t="s">
        <v>40</v>
      </c>
      <c r="D46" s="5"/>
      <c r="E46" s="5"/>
      <c r="F46" s="5"/>
      <c r="G46" s="7">
        <v>53406</v>
      </c>
      <c r="H46" s="7">
        <f>2575+4330</f>
        <v>6905</v>
      </c>
      <c r="I46" s="7">
        <v>13415</v>
      </c>
      <c r="J46" s="8"/>
      <c r="K46" s="9"/>
      <c r="L46" s="9"/>
      <c r="M46" s="9"/>
    </row>
    <row r="47" spans="1:13" ht="15.75" customHeight="1" x14ac:dyDescent="0.2">
      <c r="A47" s="5">
        <v>33</v>
      </c>
      <c r="B47" s="10" t="s">
        <v>52</v>
      </c>
      <c r="C47" s="5" t="s">
        <v>40</v>
      </c>
      <c r="D47" s="5"/>
      <c r="E47" s="5"/>
      <c r="F47" s="5"/>
      <c r="G47" s="7">
        <v>18258</v>
      </c>
      <c r="H47" s="7">
        <v>3104</v>
      </c>
      <c r="I47" s="7">
        <v>11636</v>
      </c>
      <c r="J47" s="8"/>
      <c r="K47" s="9"/>
      <c r="L47" s="9"/>
      <c r="M47" s="9"/>
    </row>
    <row r="48" spans="1:13" ht="15.75" customHeight="1" x14ac:dyDescent="0.2">
      <c r="A48" s="5">
        <v>34</v>
      </c>
      <c r="B48" s="10" t="s">
        <v>21</v>
      </c>
      <c r="C48" s="5" t="s">
        <v>40</v>
      </c>
      <c r="D48" s="5"/>
      <c r="E48" s="5"/>
      <c r="F48" s="5"/>
      <c r="G48" s="7">
        <v>60831</v>
      </c>
      <c r="H48" s="7">
        <f>980+4951</f>
        <v>5931</v>
      </c>
      <c r="I48" s="7">
        <v>19383</v>
      </c>
      <c r="J48" s="8"/>
      <c r="K48" s="9"/>
      <c r="L48" s="9"/>
      <c r="M48" s="9"/>
    </row>
    <row r="49" spans="1:13" ht="15.75" customHeight="1" x14ac:dyDescent="0.2">
      <c r="A49" s="5">
        <v>35</v>
      </c>
      <c r="B49" s="10" t="s">
        <v>50</v>
      </c>
      <c r="C49" s="5" t="s">
        <v>40</v>
      </c>
      <c r="D49" s="5"/>
      <c r="E49" s="5"/>
      <c r="F49" s="5"/>
      <c r="G49" s="7">
        <v>6745</v>
      </c>
      <c r="H49" s="7">
        <v>407</v>
      </c>
      <c r="I49" s="7">
        <v>1336</v>
      </c>
      <c r="J49" s="8"/>
      <c r="K49" s="9"/>
      <c r="L49" s="9"/>
      <c r="M49" s="9"/>
    </row>
    <row r="50" spans="1:13" ht="15.75" customHeight="1" x14ac:dyDescent="0.2">
      <c r="A50" s="5">
        <v>36</v>
      </c>
      <c r="B50" s="10" t="s">
        <v>23</v>
      </c>
      <c r="C50" s="5" t="s">
        <v>40</v>
      </c>
      <c r="D50" s="5"/>
      <c r="E50" s="5"/>
      <c r="F50" s="5"/>
      <c r="G50" s="7">
        <v>25585</v>
      </c>
      <c r="H50" s="7">
        <v>1408</v>
      </c>
      <c r="I50" s="7">
        <v>14286</v>
      </c>
      <c r="J50" s="8"/>
      <c r="K50" s="9"/>
      <c r="L50" s="9"/>
      <c r="M50" s="9"/>
    </row>
    <row r="51" spans="1:13" ht="15.75" customHeight="1" x14ac:dyDescent="0.2">
      <c r="A51" s="5">
        <v>37</v>
      </c>
      <c r="B51" s="10" t="s">
        <v>44</v>
      </c>
      <c r="C51" s="5" t="s">
        <v>40</v>
      </c>
      <c r="D51" s="5"/>
      <c r="E51" s="5"/>
      <c r="F51" s="5"/>
      <c r="G51" s="7">
        <v>6780</v>
      </c>
      <c r="H51" s="7"/>
      <c r="I51" s="7">
        <v>2226</v>
      </c>
      <c r="J51" s="8"/>
      <c r="K51" s="9"/>
      <c r="L51" s="9"/>
      <c r="M51" s="9"/>
    </row>
    <row r="52" spans="1:13" ht="13.5" customHeight="1" x14ac:dyDescent="0.2">
      <c r="A52" s="16" t="s">
        <v>4</v>
      </c>
      <c r="B52" s="16"/>
      <c r="C52" s="11" t="s">
        <v>40</v>
      </c>
      <c r="D52" s="12" t="s">
        <v>66</v>
      </c>
      <c r="E52" s="12" t="s">
        <v>66</v>
      </c>
      <c r="F52" s="12" t="s">
        <v>66</v>
      </c>
      <c r="G52" s="12">
        <f>SUM(G15:G51)</f>
        <v>1001529</v>
      </c>
      <c r="H52" s="12">
        <f t="shared" ref="H52:I52" si="0">SUM(H15:H51)</f>
        <v>245536</v>
      </c>
      <c r="I52" s="12">
        <f t="shared" si="0"/>
        <v>423186</v>
      </c>
    </row>
    <row r="53" spans="1:13" x14ac:dyDescent="0.2">
      <c r="G53" s="13"/>
      <c r="H53" s="13"/>
      <c r="I53" s="13"/>
      <c r="J53" s="8"/>
    </row>
    <row r="54" spans="1:13" x14ac:dyDescent="0.2">
      <c r="G54" s="13"/>
      <c r="H54" s="13"/>
      <c r="I54" s="13"/>
    </row>
    <row r="58" spans="1:13" x14ac:dyDescent="0.2">
      <c r="C58" s="14"/>
      <c r="D58" s="14"/>
      <c r="E58" s="14"/>
      <c r="F58" s="14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18" workbookViewId="0">
      <selection activeCell="H52" sqref="H52:I52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5" t="s">
        <v>39</v>
      </c>
      <c r="I1" s="15"/>
    </row>
    <row r="2" spans="1:13" x14ac:dyDescent="0.2">
      <c r="H2" s="15" t="s">
        <v>26</v>
      </c>
      <c r="I2" s="15"/>
    </row>
    <row r="3" spans="1:13" x14ac:dyDescent="0.2">
      <c r="H3" s="15" t="s">
        <v>27</v>
      </c>
      <c r="I3" s="15"/>
    </row>
    <row r="4" spans="1:13" x14ac:dyDescent="0.2">
      <c r="H4" s="15" t="s">
        <v>28</v>
      </c>
      <c r="I4" s="15"/>
    </row>
    <row r="5" spans="1:13" x14ac:dyDescent="0.2">
      <c r="H5" s="15" t="s">
        <v>29</v>
      </c>
      <c r="I5" s="15"/>
    </row>
    <row r="6" spans="1:13" x14ac:dyDescent="0.2">
      <c r="C6" s="2"/>
      <c r="D6" s="2"/>
      <c r="E6" s="2"/>
      <c r="F6" s="2"/>
      <c r="G6" s="2"/>
      <c r="H6" s="15" t="s">
        <v>30</v>
      </c>
      <c r="I6" s="15"/>
    </row>
    <row r="7" spans="1:13" x14ac:dyDescent="0.2">
      <c r="G7" s="2"/>
      <c r="H7" s="15" t="s">
        <v>3</v>
      </c>
      <c r="I7" s="15"/>
    </row>
    <row r="9" spans="1:13" ht="12.75" customHeight="1" x14ac:dyDescent="0.2">
      <c r="A9" s="17" t="s">
        <v>31</v>
      </c>
      <c r="B9" s="17"/>
      <c r="C9" s="17"/>
      <c r="D9" s="17"/>
      <c r="E9" s="17"/>
      <c r="F9" s="17"/>
      <c r="G9" s="17"/>
      <c r="H9" s="17"/>
      <c r="I9" s="17"/>
      <c r="J9" s="3"/>
    </row>
    <row r="10" spans="1:13" ht="30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3"/>
    </row>
    <row r="12" spans="1:13" x14ac:dyDescent="0.2">
      <c r="A12" s="18" t="s">
        <v>0</v>
      </c>
      <c r="B12" s="21" t="s">
        <v>1</v>
      </c>
      <c r="C12" s="22" t="s">
        <v>2</v>
      </c>
      <c r="D12" s="21" t="s">
        <v>5</v>
      </c>
      <c r="E12" s="21"/>
      <c r="F12" s="21"/>
      <c r="G12" s="21"/>
      <c r="H12" s="21"/>
      <c r="I12" s="21"/>
    </row>
    <row r="13" spans="1:13" x14ac:dyDescent="0.2">
      <c r="A13" s="19"/>
      <c r="B13" s="21"/>
      <c r="C13" s="23"/>
      <c r="D13" s="4" t="s">
        <v>32</v>
      </c>
      <c r="E13" s="4" t="s">
        <v>33</v>
      </c>
      <c r="F13" s="4" t="s">
        <v>34</v>
      </c>
      <c r="G13" s="21" t="s">
        <v>35</v>
      </c>
      <c r="H13" s="21"/>
      <c r="I13" s="21"/>
    </row>
    <row r="14" spans="1:13" ht="28.5" customHeight="1" x14ac:dyDescent="0.2">
      <c r="A14" s="20"/>
      <c r="B14" s="21"/>
      <c r="C14" s="24"/>
      <c r="D14" s="4"/>
      <c r="E14" s="4"/>
      <c r="F14" s="4"/>
      <c r="G14" s="4" t="s">
        <v>36</v>
      </c>
      <c r="H14" s="4" t="s">
        <v>37</v>
      </c>
      <c r="I14" s="4" t="s">
        <v>38</v>
      </c>
    </row>
    <row r="15" spans="1:13" ht="15.75" customHeight="1" x14ac:dyDescent="0.2">
      <c r="A15" s="5">
        <v>1</v>
      </c>
      <c r="B15" s="6" t="s">
        <v>25</v>
      </c>
      <c r="C15" s="5" t="s">
        <v>40</v>
      </c>
      <c r="D15" s="5"/>
      <c r="E15" s="5"/>
      <c r="F15" s="5"/>
      <c r="G15" s="7">
        <v>24307</v>
      </c>
      <c r="H15" s="7">
        <v>5204</v>
      </c>
      <c r="I15" s="7">
        <v>38106</v>
      </c>
      <c r="J15" s="8"/>
      <c r="K15" s="9"/>
      <c r="L15" s="9"/>
      <c r="M15" s="9"/>
    </row>
    <row r="16" spans="1:13" ht="15.75" customHeight="1" x14ac:dyDescent="0.2">
      <c r="A16" s="5">
        <v>2</v>
      </c>
      <c r="B16" s="6" t="s">
        <v>47</v>
      </c>
      <c r="C16" s="5" t="s">
        <v>40</v>
      </c>
      <c r="D16" s="5"/>
      <c r="E16" s="5"/>
      <c r="F16" s="5"/>
      <c r="G16" s="7">
        <v>23008</v>
      </c>
      <c r="H16" s="7">
        <v>1164</v>
      </c>
      <c r="I16" s="7">
        <v>6187</v>
      </c>
      <c r="J16" s="8"/>
      <c r="K16" s="9"/>
      <c r="L16" s="9"/>
      <c r="M16" s="9"/>
    </row>
    <row r="17" spans="1:13" ht="15.75" customHeight="1" x14ac:dyDescent="0.2">
      <c r="A17" s="5">
        <v>3</v>
      </c>
      <c r="B17" s="6" t="s">
        <v>58</v>
      </c>
      <c r="C17" s="5" t="s">
        <v>40</v>
      </c>
      <c r="D17" s="5"/>
      <c r="E17" s="5"/>
      <c r="F17" s="5"/>
      <c r="G17" s="7">
        <v>2345</v>
      </c>
      <c r="H17" s="7"/>
      <c r="I17" s="7">
        <v>398</v>
      </c>
      <c r="J17" s="8"/>
      <c r="K17" s="9"/>
      <c r="L17" s="9"/>
      <c r="M17" s="9"/>
    </row>
    <row r="18" spans="1:13" ht="15.75" customHeight="1" x14ac:dyDescent="0.2">
      <c r="A18" s="5">
        <v>4</v>
      </c>
      <c r="B18" s="6" t="s">
        <v>15</v>
      </c>
      <c r="C18" s="5" t="s">
        <v>40</v>
      </c>
      <c r="D18" s="5"/>
      <c r="E18" s="5"/>
      <c r="F18" s="5"/>
      <c r="G18" s="7">
        <v>54569</v>
      </c>
      <c r="H18" s="7">
        <v>1821</v>
      </c>
      <c r="I18" s="7">
        <v>4641</v>
      </c>
      <c r="J18" s="8"/>
      <c r="K18" s="9"/>
      <c r="L18" s="9"/>
      <c r="M18" s="9"/>
    </row>
    <row r="19" spans="1:13" ht="15.75" customHeight="1" x14ac:dyDescent="0.2">
      <c r="A19" s="5">
        <v>5</v>
      </c>
      <c r="B19" s="6" t="s">
        <v>46</v>
      </c>
      <c r="C19" s="5" t="s">
        <v>40</v>
      </c>
      <c r="D19" s="5"/>
      <c r="E19" s="5"/>
      <c r="F19" s="5"/>
      <c r="G19" s="7">
        <v>4326</v>
      </c>
      <c r="H19" s="7">
        <v>205</v>
      </c>
      <c r="I19" s="7">
        <v>1699</v>
      </c>
      <c r="J19" s="8"/>
      <c r="K19" s="9"/>
      <c r="L19" s="9"/>
      <c r="M19" s="9"/>
    </row>
    <row r="20" spans="1:13" ht="15.75" customHeight="1" x14ac:dyDescent="0.2">
      <c r="A20" s="5">
        <v>6</v>
      </c>
      <c r="B20" s="6" t="s">
        <v>16</v>
      </c>
      <c r="C20" s="5" t="s">
        <v>40</v>
      </c>
      <c r="D20" s="5"/>
      <c r="E20" s="5"/>
      <c r="F20" s="5"/>
      <c r="G20" s="7">
        <v>50942</v>
      </c>
      <c r="H20" s="7">
        <f>21565+12499</f>
        <v>34064</v>
      </c>
      <c r="I20" s="7">
        <v>31749</v>
      </c>
      <c r="J20" s="8"/>
      <c r="K20" s="9"/>
      <c r="L20" s="9"/>
      <c r="M20" s="9"/>
    </row>
    <row r="21" spans="1:13" ht="15.75" customHeight="1" x14ac:dyDescent="0.2">
      <c r="A21" s="5">
        <v>7</v>
      </c>
      <c r="B21" s="6" t="s">
        <v>56</v>
      </c>
      <c r="C21" s="5" t="s">
        <v>40</v>
      </c>
      <c r="D21" s="5"/>
      <c r="E21" s="5"/>
      <c r="F21" s="5"/>
      <c r="G21" s="7">
        <v>12486</v>
      </c>
      <c r="H21" s="7">
        <f>4476+1112</f>
        <v>5588</v>
      </c>
      <c r="I21" s="7">
        <v>3552</v>
      </c>
      <c r="J21" s="8"/>
      <c r="K21" s="9"/>
      <c r="L21" s="9"/>
      <c r="M21" s="9"/>
    </row>
    <row r="22" spans="1:13" ht="15.75" customHeight="1" x14ac:dyDescent="0.2">
      <c r="A22" s="5">
        <v>8</v>
      </c>
      <c r="B22" s="6" t="s">
        <v>53</v>
      </c>
      <c r="C22" s="5" t="s">
        <v>40</v>
      </c>
      <c r="D22" s="5"/>
      <c r="E22" s="5"/>
      <c r="F22" s="5"/>
      <c r="G22" s="7">
        <v>5545</v>
      </c>
      <c r="H22" s="7"/>
      <c r="I22" s="7">
        <v>4492</v>
      </c>
      <c r="J22" s="8"/>
      <c r="K22" s="9"/>
      <c r="L22" s="9"/>
      <c r="M22" s="9"/>
    </row>
    <row r="23" spans="1:13" ht="15.75" customHeight="1" x14ac:dyDescent="0.2">
      <c r="A23" s="5">
        <v>9</v>
      </c>
      <c r="B23" s="6" t="s">
        <v>57</v>
      </c>
      <c r="C23" s="5" t="s">
        <v>40</v>
      </c>
      <c r="D23" s="5"/>
      <c r="E23" s="5"/>
      <c r="F23" s="5"/>
      <c r="G23" s="7">
        <v>6162</v>
      </c>
      <c r="H23" s="7">
        <v>390</v>
      </c>
      <c r="I23" s="7">
        <v>3281</v>
      </c>
      <c r="J23" s="8"/>
      <c r="K23" s="9"/>
      <c r="L23" s="9"/>
      <c r="M23" s="9"/>
    </row>
    <row r="24" spans="1:13" ht="15.75" customHeight="1" x14ac:dyDescent="0.2">
      <c r="A24" s="5">
        <v>10</v>
      </c>
      <c r="B24" s="6" t="s">
        <v>59</v>
      </c>
      <c r="C24" s="5" t="s">
        <v>40</v>
      </c>
      <c r="D24" s="5"/>
      <c r="E24" s="5"/>
      <c r="F24" s="5"/>
      <c r="G24" s="7">
        <v>2500</v>
      </c>
      <c r="H24" s="7">
        <v>910</v>
      </c>
      <c r="I24" s="7">
        <v>1151</v>
      </c>
      <c r="J24" s="8"/>
      <c r="K24" s="9"/>
      <c r="L24" s="9"/>
      <c r="M24" s="9"/>
    </row>
    <row r="25" spans="1:13" ht="15.75" customHeight="1" x14ac:dyDescent="0.2">
      <c r="A25" s="5">
        <v>11</v>
      </c>
      <c r="B25" s="6" t="s">
        <v>45</v>
      </c>
      <c r="C25" s="5" t="s">
        <v>40</v>
      </c>
      <c r="D25" s="5"/>
      <c r="E25" s="5"/>
      <c r="F25" s="5"/>
      <c r="G25" s="7">
        <v>14130</v>
      </c>
      <c r="H25" s="7"/>
      <c r="I25" s="7">
        <v>4199</v>
      </c>
      <c r="J25" s="8"/>
      <c r="K25" s="9"/>
      <c r="L25" s="9"/>
      <c r="M25" s="9"/>
    </row>
    <row r="26" spans="1:13" ht="15.75" customHeight="1" x14ac:dyDescent="0.2">
      <c r="A26" s="5">
        <v>12</v>
      </c>
      <c r="B26" s="6" t="s">
        <v>14</v>
      </c>
      <c r="C26" s="5" t="s">
        <v>40</v>
      </c>
      <c r="D26" s="5"/>
      <c r="E26" s="5"/>
      <c r="F26" s="5"/>
      <c r="G26" s="7">
        <v>72170</v>
      </c>
      <c r="H26" s="7">
        <f>964+7601</f>
        <v>8565</v>
      </c>
      <c r="I26" s="7">
        <v>20367</v>
      </c>
      <c r="J26" s="8"/>
      <c r="K26" s="9"/>
      <c r="L26" s="9"/>
      <c r="M26" s="9"/>
    </row>
    <row r="27" spans="1:13" ht="15.75" customHeight="1" x14ac:dyDescent="0.2">
      <c r="A27" s="5">
        <v>13</v>
      </c>
      <c r="B27" s="6" t="s">
        <v>51</v>
      </c>
      <c r="C27" s="5" t="s">
        <v>40</v>
      </c>
      <c r="D27" s="5"/>
      <c r="E27" s="5"/>
      <c r="F27" s="5"/>
      <c r="G27" s="7">
        <v>7613</v>
      </c>
      <c r="H27" s="7">
        <v>1662</v>
      </c>
      <c r="I27" s="7">
        <v>2142</v>
      </c>
      <c r="J27" s="8"/>
      <c r="K27" s="9"/>
      <c r="L27" s="9"/>
      <c r="M27" s="9"/>
    </row>
    <row r="28" spans="1:13" ht="15.75" customHeight="1" x14ac:dyDescent="0.2">
      <c r="A28" s="5">
        <v>14</v>
      </c>
      <c r="B28" s="6" t="s">
        <v>18</v>
      </c>
      <c r="C28" s="5" t="s">
        <v>40</v>
      </c>
      <c r="D28" s="5"/>
      <c r="E28" s="5"/>
      <c r="F28" s="5"/>
      <c r="G28" s="7">
        <v>53213</v>
      </c>
      <c r="H28" s="7">
        <v>3186</v>
      </c>
      <c r="I28" s="7">
        <v>16481</v>
      </c>
      <c r="J28" s="8"/>
      <c r="K28" s="9"/>
      <c r="L28" s="9"/>
      <c r="M28" s="9"/>
    </row>
    <row r="29" spans="1:13" ht="15.75" customHeight="1" x14ac:dyDescent="0.2">
      <c r="A29" s="5">
        <v>15</v>
      </c>
      <c r="B29" s="10" t="s">
        <v>60</v>
      </c>
      <c r="C29" s="5" t="s">
        <v>40</v>
      </c>
      <c r="D29" s="5"/>
      <c r="E29" s="5"/>
      <c r="F29" s="5"/>
      <c r="G29" s="7">
        <v>5060</v>
      </c>
      <c r="H29" s="7">
        <v>75</v>
      </c>
      <c r="I29" s="7">
        <v>1286</v>
      </c>
      <c r="J29" s="8"/>
      <c r="K29" s="9"/>
      <c r="L29" s="9"/>
      <c r="M29" s="9"/>
    </row>
    <row r="30" spans="1:13" ht="15.75" customHeight="1" x14ac:dyDescent="0.2">
      <c r="A30" s="5">
        <v>16</v>
      </c>
      <c r="B30" s="10" t="s">
        <v>17</v>
      </c>
      <c r="C30" s="5" t="s">
        <v>40</v>
      </c>
      <c r="D30" s="5"/>
      <c r="E30" s="5"/>
      <c r="F30" s="5"/>
      <c r="G30" s="7">
        <v>53948</v>
      </c>
      <c r="H30" s="7">
        <f>37263+1252</f>
        <v>38515</v>
      </c>
      <c r="I30" s="7">
        <v>13140</v>
      </c>
      <c r="J30" s="8"/>
      <c r="K30" s="9"/>
      <c r="L30" s="9"/>
      <c r="M30" s="9"/>
    </row>
    <row r="31" spans="1:13" ht="15.75" customHeight="1" x14ac:dyDescent="0.2">
      <c r="A31" s="5">
        <v>17</v>
      </c>
      <c r="B31" s="10" t="s">
        <v>61</v>
      </c>
      <c r="C31" s="5" t="s">
        <v>40</v>
      </c>
      <c r="D31" s="5"/>
      <c r="E31" s="5"/>
      <c r="F31" s="5"/>
      <c r="G31" s="7">
        <v>11852</v>
      </c>
      <c r="H31" s="7">
        <v>246</v>
      </c>
      <c r="I31" s="7">
        <v>1374</v>
      </c>
      <c r="J31" s="8"/>
      <c r="K31" s="9"/>
      <c r="L31" s="9"/>
      <c r="M31" s="9"/>
    </row>
    <row r="32" spans="1:13" ht="15.75" customHeight="1" x14ac:dyDescent="0.2">
      <c r="A32" s="5">
        <v>18</v>
      </c>
      <c r="B32" s="6" t="s">
        <v>41</v>
      </c>
      <c r="C32" s="5" t="s">
        <v>40</v>
      </c>
      <c r="D32" s="5"/>
      <c r="E32" s="5"/>
      <c r="F32" s="5"/>
      <c r="G32" s="7">
        <v>22143</v>
      </c>
      <c r="H32" s="7">
        <f>17986+597</f>
        <v>18583</v>
      </c>
      <c r="I32" s="7">
        <v>7225</v>
      </c>
      <c r="J32" s="8"/>
      <c r="K32" s="9"/>
      <c r="L32" s="9"/>
      <c r="M32" s="9"/>
    </row>
    <row r="33" spans="1:13" ht="15.75" customHeight="1" x14ac:dyDescent="0.2">
      <c r="A33" s="5">
        <v>19</v>
      </c>
      <c r="B33" s="6" t="s">
        <v>62</v>
      </c>
      <c r="C33" s="5" t="s">
        <v>40</v>
      </c>
      <c r="D33" s="5"/>
      <c r="E33" s="5"/>
      <c r="F33" s="5"/>
      <c r="G33" s="7">
        <v>9176</v>
      </c>
      <c r="H33" s="7">
        <v>110</v>
      </c>
      <c r="I33" s="7">
        <v>4672</v>
      </c>
      <c r="J33" s="8"/>
      <c r="K33" s="9"/>
      <c r="L33" s="9"/>
      <c r="M33" s="9"/>
    </row>
    <row r="34" spans="1:13" ht="15.75" customHeight="1" x14ac:dyDescent="0.2">
      <c r="A34" s="5">
        <v>20</v>
      </c>
      <c r="B34" s="6" t="s">
        <v>49</v>
      </c>
      <c r="C34" s="5" t="s">
        <v>40</v>
      </c>
      <c r="D34" s="5"/>
      <c r="E34" s="5"/>
      <c r="F34" s="5"/>
      <c r="G34" s="7">
        <v>772</v>
      </c>
      <c r="H34" s="7"/>
      <c r="I34" s="7">
        <v>170</v>
      </c>
      <c r="J34" s="8"/>
      <c r="K34" s="9"/>
      <c r="L34" s="9"/>
      <c r="M34" s="9"/>
    </row>
    <row r="35" spans="1:13" ht="15.75" customHeight="1" x14ac:dyDescent="0.2">
      <c r="A35" s="5">
        <v>21</v>
      </c>
      <c r="B35" s="6" t="s">
        <v>20</v>
      </c>
      <c r="C35" s="5" t="s">
        <v>40</v>
      </c>
      <c r="D35" s="5"/>
      <c r="E35" s="5"/>
      <c r="F35" s="5"/>
      <c r="G35" s="7">
        <v>55925</v>
      </c>
      <c r="H35" s="7">
        <v>3221</v>
      </c>
      <c r="I35" s="7">
        <v>12745</v>
      </c>
      <c r="J35" s="8"/>
      <c r="K35" s="9"/>
      <c r="L35" s="9"/>
      <c r="M35" s="9"/>
    </row>
    <row r="36" spans="1:13" ht="15.75" customHeight="1" x14ac:dyDescent="0.2">
      <c r="A36" s="5">
        <v>22</v>
      </c>
      <c r="B36" s="6" t="s">
        <v>22</v>
      </c>
      <c r="C36" s="5" t="s">
        <v>40</v>
      </c>
      <c r="D36" s="5"/>
      <c r="E36" s="5"/>
      <c r="F36" s="5"/>
      <c r="G36" s="7">
        <v>80839</v>
      </c>
      <c r="H36" s="7">
        <f>19+30118</f>
        <v>30137</v>
      </c>
      <c r="I36" s="7">
        <v>30103</v>
      </c>
      <c r="J36" s="8"/>
      <c r="K36" s="9"/>
      <c r="L36" s="9"/>
      <c r="M36" s="9"/>
    </row>
    <row r="37" spans="1:13" ht="15.75" customHeight="1" x14ac:dyDescent="0.2">
      <c r="A37" s="5">
        <v>23</v>
      </c>
      <c r="B37" s="6" t="s">
        <v>55</v>
      </c>
      <c r="C37" s="5" t="s">
        <v>40</v>
      </c>
      <c r="D37" s="5"/>
      <c r="E37" s="5"/>
      <c r="F37" s="5"/>
      <c r="G37" s="7">
        <v>64417</v>
      </c>
      <c r="H37" s="7">
        <f>133+13138</f>
        <v>13271</v>
      </c>
      <c r="I37" s="7">
        <v>71563</v>
      </c>
      <c r="J37" s="8"/>
      <c r="K37" s="9"/>
      <c r="L37" s="9"/>
      <c r="M37" s="9"/>
    </row>
    <row r="38" spans="1:13" ht="15.75" customHeight="1" x14ac:dyDescent="0.2">
      <c r="A38" s="5">
        <v>24</v>
      </c>
      <c r="B38" s="6" t="s">
        <v>19</v>
      </c>
      <c r="C38" s="5" t="s">
        <v>40</v>
      </c>
      <c r="D38" s="5"/>
      <c r="E38" s="5"/>
      <c r="F38" s="5"/>
      <c r="G38" s="7">
        <v>30759</v>
      </c>
      <c r="H38" s="7">
        <f>15281+2617</f>
        <v>17898</v>
      </c>
      <c r="I38" s="7">
        <v>18311</v>
      </c>
      <c r="J38" s="8"/>
      <c r="K38" s="9"/>
      <c r="L38" s="9"/>
      <c r="M38" s="9"/>
    </row>
    <row r="39" spans="1:13" ht="15.75" customHeight="1" x14ac:dyDescent="0.2">
      <c r="A39" s="5">
        <v>25</v>
      </c>
      <c r="B39" s="6" t="s">
        <v>24</v>
      </c>
      <c r="C39" s="5" t="s">
        <v>40</v>
      </c>
      <c r="D39" s="5"/>
      <c r="E39" s="5"/>
      <c r="F39" s="5"/>
      <c r="G39" s="7">
        <v>76561</v>
      </c>
      <c r="H39" s="7">
        <f>2823+7718</f>
        <v>10541</v>
      </c>
      <c r="I39" s="7">
        <v>28726</v>
      </c>
      <c r="J39" s="8"/>
      <c r="K39" s="9"/>
      <c r="L39" s="9"/>
      <c r="M39" s="9"/>
    </row>
    <row r="40" spans="1:13" ht="15.75" customHeight="1" x14ac:dyDescent="0.2">
      <c r="A40" s="5">
        <v>26</v>
      </c>
      <c r="B40" s="6" t="s">
        <v>48</v>
      </c>
      <c r="C40" s="5" t="s">
        <v>40</v>
      </c>
      <c r="D40" s="5"/>
      <c r="E40" s="5"/>
      <c r="F40" s="5"/>
      <c r="G40" s="7">
        <v>1018</v>
      </c>
      <c r="H40" s="7"/>
      <c r="I40" s="7">
        <v>407</v>
      </c>
      <c r="J40" s="8"/>
      <c r="K40" s="9"/>
      <c r="L40" s="9"/>
      <c r="M40" s="9"/>
    </row>
    <row r="41" spans="1:13" ht="15.75" customHeight="1" x14ac:dyDescent="0.2">
      <c r="A41" s="5">
        <v>27</v>
      </c>
      <c r="B41" s="6" t="s">
        <v>42</v>
      </c>
      <c r="C41" s="5" t="s">
        <v>40</v>
      </c>
      <c r="D41" s="5"/>
      <c r="E41" s="5"/>
      <c r="F41" s="5"/>
      <c r="G41" s="7">
        <v>11652</v>
      </c>
      <c r="H41" s="7">
        <v>824</v>
      </c>
      <c r="I41" s="7">
        <v>3742</v>
      </c>
      <c r="J41" s="8"/>
      <c r="K41" s="9"/>
      <c r="L41" s="9"/>
      <c r="M41" s="9"/>
    </row>
    <row r="42" spans="1:13" ht="15.75" customHeight="1" x14ac:dyDescent="0.2">
      <c r="A42" s="5">
        <v>28</v>
      </c>
      <c r="B42" s="6" t="s">
        <v>54</v>
      </c>
      <c r="C42" s="5" t="s">
        <v>40</v>
      </c>
      <c r="D42" s="5"/>
      <c r="E42" s="5"/>
      <c r="F42" s="5"/>
      <c r="G42" s="7">
        <v>6095</v>
      </c>
      <c r="H42" s="7">
        <v>1595</v>
      </c>
      <c r="I42" s="7">
        <v>1548</v>
      </c>
      <c r="J42" s="8"/>
      <c r="K42" s="9"/>
      <c r="L42" s="9"/>
      <c r="M42" s="9"/>
    </row>
    <row r="43" spans="1:13" ht="15.75" customHeight="1" x14ac:dyDescent="0.2">
      <c r="A43" s="5">
        <v>29</v>
      </c>
      <c r="B43" s="6" t="s">
        <v>43</v>
      </c>
      <c r="C43" s="5" t="s">
        <v>40</v>
      </c>
      <c r="D43" s="5"/>
      <c r="E43" s="5"/>
      <c r="F43" s="5"/>
      <c r="G43" s="7">
        <v>5090</v>
      </c>
      <c r="H43" s="7">
        <v>50</v>
      </c>
      <c r="I43" s="7">
        <v>2889</v>
      </c>
      <c r="J43" s="8"/>
      <c r="K43" s="9"/>
      <c r="L43" s="9"/>
      <c r="M43" s="9"/>
    </row>
    <row r="44" spans="1:13" ht="15.75" customHeight="1" x14ac:dyDescent="0.2">
      <c r="A44" s="5">
        <v>30</v>
      </c>
      <c r="B44" s="6" t="s">
        <v>63</v>
      </c>
      <c r="C44" s="5" t="s">
        <v>40</v>
      </c>
      <c r="D44" s="5"/>
      <c r="E44" s="5"/>
      <c r="F44" s="5"/>
      <c r="G44" s="7">
        <v>28590</v>
      </c>
      <c r="H44" s="7">
        <f>275+3201</f>
        <v>3476</v>
      </c>
      <c r="I44" s="7">
        <v>15130</v>
      </c>
      <c r="J44" s="8"/>
      <c r="K44" s="9"/>
      <c r="L44" s="9"/>
      <c r="M44" s="9"/>
    </row>
    <row r="45" spans="1:13" ht="15.75" customHeight="1" x14ac:dyDescent="0.2">
      <c r="A45" s="5">
        <v>31</v>
      </c>
      <c r="B45" s="6" t="s">
        <v>64</v>
      </c>
      <c r="C45" s="5" t="s">
        <v>40</v>
      </c>
      <c r="D45" s="5"/>
      <c r="E45" s="5"/>
      <c r="F45" s="5"/>
      <c r="G45" s="7">
        <v>1387</v>
      </c>
      <c r="H45" s="7"/>
      <c r="I45" s="7">
        <v>589</v>
      </c>
      <c r="J45" s="8"/>
      <c r="K45" s="9"/>
      <c r="L45" s="9"/>
      <c r="M45" s="9"/>
    </row>
    <row r="46" spans="1:13" ht="15.75" customHeight="1" x14ac:dyDescent="0.2">
      <c r="A46" s="5">
        <v>32</v>
      </c>
      <c r="B46" s="10" t="s">
        <v>65</v>
      </c>
      <c r="C46" s="5" t="s">
        <v>40</v>
      </c>
      <c r="D46" s="5"/>
      <c r="E46" s="5"/>
      <c r="F46" s="5"/>
      <c r="G46" s="7">
        <v>45765</v>
      </c>
      <c r="H46" s="7">
        <f>3021+4085</f>
        <v>7106</v>
      </c>
      <c r="I46" s="7">
        <v>13603</v>
      </c>
      <c r="J46" s="8"/>
      <c r="K46" s="9"/>
      <c r="L46" s="9"/>
      <c r="M46" s="9"/>
    </row>
    <row r="47" spans="1:13" ht="15.75" customHeight="1" x14ac:dyDescent="0.2">
      <c r="A47" s="5">
        <v>33</v>
      </c>
      <c r="B47" s="10" t="s">
        <v>52</v>
      </c>
      <c r="C47" s="5" t="s">
        <v>40</v>
      </c>
      <c r="D47" s="5"/>
      <c r="E47" s="5"/>
      <c r="F47" s="5"/>
      <c r="G47" s="7">
        <v>15711</v>
      </c>
      <c r="H47" s="7">
        <v>2912</v>
      </c>
      <c r="I47" s="7">
        <v>9699</v>
      </c>
      <c r="J47" s="8"/>
      <c r="K47" s="9"/>
      <c r="L47" s="9"/>
      <c r="M47" s="9"/>
    </row>
    <row r="48" spans="1:13" ht="15.75" customHeight="1" x14ac:dyDescent="0.2">
      <c r="A48" s="5">
        <v>34</v>
      </c>
      <c r="B48" s="10" t="s">
        <v>21</v>
      </c>
      <c r="C48" s="5" t="s">
        <v>40</v>
      </c>
      <c r="D48" s="5"/>
      <c r="E48" s="5"/>
      <c r="F48" s="5"/>
      <c r="G48" s="7">
        <f>68421+161+388</f>
        <v>68970</v>
      </c>
      <c r="H48" s="7">
        <f>4316+4574</f>
        <v>8890</v>
      </c>
      <c r="I48" s="7">
        <v>20064</v>
      </c>
      <c r="J48" s="8"/>
      <c r="K48" s="9"/>
      <c r="L48" s="9"/>
      <c r="M48" s="9"/>
    </row>
    <row r="49" spans="1:13" ht="15.75" customHeight="1" x14ac:dyDescent="0.2">
      <c r="A49" s="5">
        <v>35</v>
      </c>
      <c r="B49" s="10" t="s">
        <v>50</v>
      </c>
      <c r="C49" s="5" t="s">
        <v>40</v>
      </c>
      <c r="D49" s="5"/>
      <c r="E49" s="5"/>
      <c r="F49" s="5"/>
      <c r="G49" s="7">
        <v>5793</v>
      </c>
      <c r="H49" s="7">
        <v>311</v>
      </c>
      <c r="I49" s="7">
        <v>2372</v>
      </c>
      <c r="J49" s="8"/>
      <c r="K49" s="9"/>
      <c r="L49" s="9"/>
      <c r="M49" s="9"/>
    </row>
    <row r="50" spans="1:13" ht="15.75" customHeight="1" x14ac:dyDescent="0.2">
      <c r="A50" s="5">
        <v>36</v>
      </c>
      <c r="B50" s="10" t="s">
        <v>23</v>
      </c>
      <c r="C50" s="5" t="s">
        <v>40</v>
      </c>
      <c r="D50" s="5"/>
      <c r="E50" s="5"/>
      <c r="F50" s="5"/>
      <c r="G50" s="7">
        <v>24203</v>
      </c>
      <c r="H50" s="7">
        <v>1391</v>
      </c>
      <c r="I50" s="7">
        <v>14295</v>
      </c>
      <c r="J50" s="8"/>
      <c r="K50" s="9"/>
      <c r="L50" s="9"/>
      <c r="M50" s="9"/>
    </row>
    <row r="51" spans="1:13" ht="15.75" customHeight="1" x14ac:dyDescent="0.2">
      <c r="A51" s="5">
        <v>37</v>
      </c>
      <c r="B51" s="10" t="s">
        <v>44</v>
      </c>
      <c r="C51" s="5" t="s">
        <v>40</v>
      </c>
      <c r="D51" s="5"/>
      <c r="E51" s="5"/>
      <c r="F51" s="5"/>
      <c r="G51" s="7">
        <v>6218</v>
      </c>
      <c r="H51" s="7"/>
      <c r="I51" s="7">
        <v>2380</v>
      </c>
      <c r="J51" s="8"/>
      <c r="K51" s="9"/>
      <c r="L51" s="9"/>
      <c r="M51" s="9"/>
    </row>
    <row r="52" spans="1:13" ht="13.5" customHeight="1" x14ac:dyDescent="0.2">
      <c r="A52" s="16" t="s">
        <v>4</v>
      </c>
      <c r="B52" s="16"/>
      <c r="C52" s="11" t="s">
        <v>40</v>
      </c>
      <c r="D52" s="12" t="s">
        <v>66</v>
      </c>
      <c r="E52" s="12" t="s">
        <v>66</v>
      </c>
      <c r="F52" s="12" t="s">
        <v>66</v>
      </c>
      <c r="G52" s="12">
        <f>SUM(G15:G51)</f>
        <v>965260</v>
      </c>
      <c r="H52" s="12">
        <f t="shared" ref="H52:I52" si="0">SUM(H15:H51)</f>
        <v>221911</v>
      </c>
      <c r="I52" s="12">
        <f t="shared" si="0"/>
        <v>414478</v>
      </c>
    </row>
    <row r="53" spans="1:13" x14ac:dyDescent="0.2">
      <c r="G53" s="13"/>
      <c r="H53" s="13"/>
      <c r="I53" s="13"/>
      <c r="J53" s="8"/>
    </row>
    <row r="54" spans="1:13" x14ac:dyDescent="0.2">
      <c r="G54" s="13"/>
      <c r="H54" s="13"/>
      <c r="I54" s="13"/>
    </row>
    <row r="58" spans="1:13" x14ac:dyDescent="0.2">
      <c r="C58" s="14"/>
      <c r="D58" s="14"/>
      <c r="E58" s="14"/>
      <c r="F58" s="14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activeCell="G15" sqref="G15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5" t="s">
        <v>39</v>
      </c>
      <c r="I1" s="15"/>
    </row>
    <row r="2" spans="1:13" x14ac:dyDescent="0.2">
      <c r="H2" s="15" t="s">
        <v>26</v>
      </c>
      <c r="I2" s="15"/>
    </row>
    <row r="3" spans="1:13" x14ac:dyDescent="0.2">
      <c r="H3" s="15" t="s">
        <v>27</v>
      </c>
      <c r="I3" s="15"/>
    </row>
    <row r="4" spans="1:13" x14ac:dyDescent="0.2">
      <c r="H4" s="15" t="s">
        <v>28</v>
      </c>
      <c r="I4" s="15"/>
    </row>
    <row r="5" spans="1:13" x14ac:dyDescent="0.2">
      <c r="H5" s="15" t="s">
        <v>29</v>
      </c>
      <c r="I5" s="15"/>
    </row>
    <row r="6" spans="1:13" x14ac:dyDescent="0.2">
      <c r="C6" s="2"/>
      <c r="D6" s="2"/>
      <c r="E6" s="2"/>
      <c r="F6" s="2"/>
      <c r="G6" s="2"/>
      <c r="H6" s="15" t="s">
        <v>30</v>
      </c>
      <c r="I6" s="15"/>
    </row>
    <row r="7" spans="1:13" x14ac:dyDescent="0.2">
      <c r="G7" s="2"/>
      <c r="H7" s="15" t="s">
        <v>3</v>
      </c>
      <c r="I7" s="15"/>
    </row>
    <row r="9" spans="1:13" ht="12.75" customHeight="1" x14ac:dyDescent="0.2">
      <c r="A9" s="17" t="s">
        <v>31</v>
      </c>
      <c r="B9" s="17"/>
      <c r="C9" s="17"/>
      <c r="D9" s="17"/>
      <c r="E9" s="17"/>
      <c r="F9" s="17"/>
      <c r="G9" s="17"/>
      <c r="H9" s="17"/>
      <c r="I9" s="17"/>
      <c r="J9" s="3"/>
    </row>
    <row r="10" spans="1:13" ht="30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3"/>
    </row>
    <row r="12" spans="1:13" x14ac:dyDescent="0.2">
      <c r="A12" s="18" t="s">
        <v>0</v>
      </c>
      <c r="B12" s="21" t="s">
        <v>1</v>
      </c>
      <c r="C12" s="22" t="s">
        <v>2</v>
      </c>
      <c r="D12" s="21" t="s">
        <v>12</v>
      </c>
      <c r="E12" s="21"/>
      <c r="F12" s="21"/>
      <c r="G12" s="21"/>
      <c r="H12" s="21"/>
      <c r="I12" s="21"/>
    </row>
    <row r="13" spans="1:13" x14ac:dyDescent="0.2">
      <c r="A13" s="19"/>
      <c r="B13" s="21"/>
      <c r="C13" s="23"/>
      <c r="D13" s="4" t="s">
        <v>32</v>
      </c>
      <c r="E13" s="4" t="s">
        <v>33</v>
      </c>
      <c r="F13" s="4" t="s">
        <v>34</v>
      </c>
      <c r="G13" s="21" t="s">
        <v>35</v>
      </c>
      <c r="H13" s="21"/>
      <c r="I13" s="21"/>
    </row>
    <row r="14" spans="1:13" ht="28.5" customHeight="1" x14ac:dyDescent="0.2">
      <c r="A14" s="20"/>
      <c r="B14" s="21"/>
      <c r="C14" s="24"/>
      <c r="D14" s="4"/>
      <c r="E14" s="4"/>
      <c r="F14" s="4"/>
      <c r="G14" s="4" t="s">
        <v>36</v>
      </c>
      <c r="H14" s="4" t="s">
        <v>37</v>
      </c>
      <c r="I14" s="4" t="s">
        <v>38</v>
      </c>
    </row>
    <row r="15" spans="1:13" ht="15.75" customHeight="1" x14ac:dyDescent="0.2">
      <c r="A15" s="5">
        <v>1</v>
      </c>
      <c r="B15" s="6" t="s">
        <v>25</v>
      </c>
      <c r="C15" s="5" t="s">
        <v>40</v>
      </c>
      <c r="D15" s="5"/>
      <c r="E15" s="5"/>
      <c r="F15" s="5"/>
      <c r="G15" s="7">
        <v>33568</v>
      </c>
      <c r="H15" s="7">
        <v>9547</v>
      </c>
      <c r="I15" s="7">
        <v>52772</v>
      </c>
      <c r="J15" s="8"/>
      <c r="K15" s="9"/>
      <c r="L15" s="9"/>
      <c r="M15" s="9"/>
    </row>
    <row r="16" spans="1:13" ht="15.75" customHeight="1" x14ac:dyDescent="0.2">
      <c r="A16" s="5">
        <v>2</v>
      </c>
      <c r="B16" s="6" t="s">
        <v>47</v>
      </c>
      <c r="C16" s="5" t="s">
        <v>40</v>
      </c>
      <c r="D16" s="5"/>
      <c r="E16" s="5"/>
      <c r="F16" s="5"/>
      <c r="G16" s="7">
        <v>24432</v>
      </c>
      <c r="H16" s="7">
        <v>1706</v>
      </c>
      <c r="I16" s="7">
        <v>9942</v>
      </c>
      <c r="J16" s="8"/>
      <c r="K16" s="9"/>
      <c r="L16" s="9"/>
      <c r="M16" s="9"/>
    </row>
    <row r="17" spans="1:13" ht="15.75" customHeight="1" x14ac:dyDescent="0.2">
      <c r="A17" s="5">
        <v>3</v>
      </c>
      <c r="B17" s="6" t="s">
        <v>58</v>
      </c>
      <c r="C17" s="5" t="s">
        <v>40</v>
      </c>
      <c r="D17" s="5"/>
      <c r="E17" s="5"/>
      <c r="F17" s="5"/>
      <c r="G17" s="7">
        <v>1837</v>
      </c>
      <c r="H17" s="7"/>
      <c r="I17" s="7">
        <v>511</v>
      </c>
      <c r="J17" s="8"/>
      <c r="K17" s="9"/>
      <c r="L17" s="9"/>
      <c r="M17" s="9"/>
    </row>
    <row r="18" spans="1:13" ht="15.75" customHeight="1" x14ac:dyDescent="0.2">
      <c r="A18" s="5">
        <v>4</v>
      </c>
      <c r="B18" s="6" t="s">
        <v>15</v>
      </c>
      <c r="C18" s="5" t="s">
        <v>40</v>
      </c>
      <c r="D18" s="5"/>
      <c r="E18" s="5"/>
      <c r="F18" s="5"/>
      <c r="G18" s="7">
        <v>61934</v>
      </c>
      <c r="H18" s="7">
        <v>2983</v>
      </c>
      <c r="I18" s="7">
        <v>6813</v>
      </c>
      <c r="J18" s="8"/>
      <c r="K18" s="9"/>
      <c r="L18" s="9"/>
      <c r="M18" s="9"/>
    </row>
    <row r="19" spans="1:13" ht="15.75" customHeight="1" x14ac:dyDescent="0.2">
      <c r="A19" s="5">
        <v>5</v>
      </c>
      <c r="B19" s="6" t="s">
        <v>46</v>
      </c>
      <c r="C19" s="5" t="s">
        <v>40</v>
      </c>
      <c r="D19" s="5"/>
      <c r="E19" s="5"/>
      <c r="F19" s="5"/>
      <c r="G19" s="7">
        <v>5373</v>
      </c>
      <c r="H19" s="7">
        <v>214</v>
      </c>
      <c r="I19" s="7">
        <v>1483</v>
      </c>
      <c r="J19" s="8"/>
      <c r="K19" s="9"/>
      <c r="L19" s="9"/>
      <c r="M19" s="9"/>
    </row>
    <row r="20" spans="1:13" ht="15.75" customHeight="1" x14ac:dyDescent="0.2">
      <c r="A20" s="5">
        <v>6</v>
      </c>
      <c r="B20" s="6" t="s">
        <v>16</v>
      </c>
      <c r="C20" s="5" t="s">
        <v>40</v>
      </c>
      <c r="D20" s="5"/>
      <c r="E20" s="5"/>
      <c r="F20" s="5"/>
      <c r="G20" s="7">
        <v>62394</v>
      </c>
      <c r="H20" s="7">
        <f>24130+13088</f>
        <v>37218</v>
      </c>
      <c r="I20" s="7">
        <v>36160</v>
      </c>
      <c r="J20" s="8"/>
      <c r="K20" s="9"/>
      <c r="L20" s="9"/>
      <c r="M20" s="9"/>
    </row>
    <row r="21" spans="1:13" ht="15.75" customHeight="1" x14ac:dyDescent="0.2">
      <c r="A21" s="5">
        <v>7</v>
      </c>
      <c r="B21" s="6" t="s">
        <v>56</v>
      </c>
      <c r="C21" s="5" t="s">
        <v>40</v>
      </c>
      <c r="D21" s="5"/>
      <c r="E21" s="5"/>
      <c r="F21" s="5"/>
      <c r="G21" s="7">
        <v>10959</v>
      </c>
      <c r="H21" s="7">
        <f>5546+1558</f>
        <v>7104</v>
      </c>
      <c r="I21" s="7">
        <v>4062</v>
      </c>
      <c r="J21" s="8"/>
      <c r="K21" s="9"/>
      <c r="L21" s="9"/>
      <c r="M21" s="9"/>
    </row>
    <row r="22" spans="1:13" ht="15.75" customHeight="1" x14ac:dyDescent="0.2">
      <c r="A22" s="5">
        <v>8</v>
      </c>
      <c r="B22" s="6" t="s">
        <v>53</v>
      </c>
      <c r="C22" s="5" t="s">
        <v>40</v>
      </c>
      <c r="D22" s="5"/>
      <c r="E22" s="5"/>
      <c r="F22" s="5"/>
      <c r="G22" s="7">
        <v>6458</v>
      </c>
      <c r="H22" s="7">
        <v>497</v>
      </c>
      <c r="I22" s="7">
        <v>6885</v>
      </c>
      <c r="J22" s="8"/>
      <c r="K22" s="9"/>
      <c r="L22" s="9"/>
      <c r="M22" s="9"/>
    </row>
    <row r="23" spans="1:13" ht="15.75" customHeight="1" x14ac:dyDescent="0.2">
      <c r="A23" s="5">
        <v>9</v>
      </c>
      <c r="B23" s="6" t="s">
        <v>57</v>
      </c>
      <c r="C23" s="5" t="s">
        <v>40</v>
      </c>
      <c r="D23" s="5"/>
      <c r="E23" s="5"/>
      <c r="F23" s="5"/>
      <c r="G23" s="7">
        <v>7126</v>
      </c>
      <c r="H23" s="7">
        <f>200+290</f>
        <v>490</v>
      </c>
      <c r="I23" s="7">
        <v>4371</v>
      </c>
      <c r="J23" s="8"/>
      <c r="K23" s="9"/>
      <c r="L23" s="9"/>
      <c r="M23" s="9"/>
    </row>
    <row r="24" spans="1:13" ht="15.75" customHeight="1" x14ac:dyDescent="0.2">
      <c r="A24" s="5">
        <v>10</v>
      </c>
      <c r="B24" s="6" t="s">
        <v>59</v>
      </c>
      <c r="C24" s="5" t="s">
        <v>40</v>
      </c>
      <c r="D24" s="5"/>
      <c r="E24" s="5"/>
      <c r="F24" s="5"/>
      <c r="G24" s="7">
        <v>2656</v>
      </c>
      <c r="H24" s="7">
        <v>1060</v>
      </c>
      <c r="I24" s="7">
        <v>1100</v>
      </c>
      <c r="J24" s="8"/>
      <c r="K24" s="9"/>
      <c r="L24" s="9"/>
      <c r="M24" s="9"/>
    </row>
    <row r="25" spans="1:13" ht="15.75" customHeight="1" x14ac:dyDescent="0.2">
      <c r="A25" s="5">
        <v>11</v>
      </c>
      <c r="B25" s="6" t="s">
        <v>45</v>
      </c>
      <c r="C25" s="5" t="s">
        <v>40</v>
      </c>
      <c r="D25" s="5"/>
      <c r="E25" s="5"/>
      <c r="F25" s="5"/>
      <c r="G25" s="7">
        <v>15425</v>
      </c>
      <c r="H25" s="7"/>
      <c r="I25" s="7">
        <v>4894</v>
      </c>
      <c r="J25" s="8"/>
      <c r="K25" s="9"/>
      <c r="L25" s="9"/>
      <c r="M25" s="9"/>
    </row>
    <row r="26" spans="1:13" ht="15.75" customHeight="1" x14ac:dyDescent="0.2">
      <c r="A26" s="5">
        <v>12</v>
      </c>
      <c r="B26" s="6" t="s">
        <v>14</v>
      </c>
      <c r="C26" s="5" t="s">
        <v>40</v>
      </c>
      <c r="D26" s="5"/>
      <c r="E26" s="5"/>
      <c r="F26" s="5"/>
      <c r="G26" s="7">
        <v>90750</v>
      </c>
      <c r="H26" s="7">
        <f>106+12902-2061</f>
        <v>10947</v>
      </c>
      <c r="I26" s="7">
        <f>23585+2061</f>
        <v>25646</v>
      </c>
      <c r="J26" s="8"/>
      <c r="K26" s="9"/>
      <c r="L26" s="9"/>
      <c r="M26" s="9"/>
    </row>
    <row r="27" spans="1:13" ht="15.75" customHeight="1" x14ac:dyDescent="0.2">
      <c r="A27" s="5">
        <v>13</v>
      </c>
      <c r="B27" s="6" t="s">
        <v>51</v>
      </c>
      <c r="C27" s="5" t="s">
        <v>40</v>
      </c>
      <c r="D27" s="5"/>
      <c r="E27" s="5"/>
      <c r="F27" s="5"/>
      <c r="G27" s="7">
        <v>10404</v>
      </c>
      <c r="H27" s="7">
        <v>1148</v>
      </c>
      <c r="I27" s="7">
        <v>3895</v>
      </c>
      <c r="J27" s="8"/>
      <c r="K27" s="9"/>
      <c r="L27" s="9"/>
      <c r="M27" s="9"/>
    </row>
    <row r="28" spans="1:13" ht="15.75" customHeight="1" x14ac:dyDescent="0.2">
      <c r="A28" s="5">
        <v>14</v>
      </c>
      <c r="B28" s="6" t="s">
        <v>18</v>
      </c>
      <c r="C28" s="5" t="s">
        <v>40</v>
      </c>
      <c r="D28" s="5"/>
      <c r="E28" s="5"/>
      <c r="F28" s="5"/>
      <c r="G28" s="7">
        <v>70738</v>
      </c>
      <c r="H28" s="7">
        <v>3397</v>
      </c>
      <c r="I28" s="7">
        <v>20806</v>
      </c>
      <c r="J28" s="8"/>
      <c r="K28" s="9"/>
      <c r="L28" s="9"/>
      <c r="M28" s="9"/>
    </row>
    <row r="29" spans="1:13" ht="15.75" customHeight="1" x14ac:dyDescent="0.2">
      <c r="A29" s="5">
        <v>15</v>
      </c>
      <c r="B29" s="10" t="s">
        <v>60</v>
      </c>
      <c r="C29" s="5" t="s">
        <v>40</v>
      </c>
      <c r="D29" s="5"/>
      <c r="E29" s="5"/>
      <c r="F29" s="5"/>
      <c r="G29" s="7">
        <v>5841</v>
      </c>
      <c r="H29" s="7">
        <v>135</v>
      </c>
      <c r="I29" s="7">
        <v>1565</v>
      </c>
      <c r="J29" s="8"/>
      <c r="K29" s="9"/>
      <c r="L29" s="9"/>
      <c r="M29" s="9"/>
    </row>
    <row r="30" spans="1:13" ht="15.75" customHeight="1" x14ac:dyDescent="0.2">
      <c r="A30" s="5">
        <v>16</v>
      </c>
      <c r="B30" s="10" t="s">
        <v>17</v>
      </c>
      <c r="C30" s="5" t="s">
        <v>40</v>
      </c>
      <c r="D30" s="5"/>
      <c r="E30" s="5"/>
      <c r="F30" s="5"/>
      <c r="G30" s="7">
        <v>61639</v>
      </c>
      <c r="H30" s="7">
        <f>45265+1472</f>
        <v>46737</v>
      </c>
      <c r="I30" s="7">
        <v>17670</v>
      </c>
      <c r="J30" s="8"/>
      <c r="K30" s="9"/>
      <c r="L30" s="9"/>
      <c r="M30" s="9"/>
    </row>
    <row r="31" spans="1:13" ht="15.75" customHeight="1" x14ac:dyDescent="0.2">
      <c r="A31" s="5">
        <v>17</v>
      </c>
      <c r="B31" s="10" t="s">
        <v>61</v>
      </c>
      <c r="C31" s="5" t="s">
        <v>40</v>
      </c>
      <c r="D31" s="5"/>
      <c r="E31" s="5"/>
      <c r="F31" s="5"/>
      <c r="G31" s="7">
        <v>15689</v>
      </c>
      <c r="H31" s="7">
        <v>286</v>
      </c>
      <c r="I31" s="7">
        <v>1635</v>
      </c>
      <c r="J31" s="8"/>
      <c r="K31" s="9"/>
      <c r="L31" s="9"/>
      <c r="M31" s="9"/>
    </row>
    <row r="32" spans="1:13" ht="15.75" customHeight="1" x14ac:dyDescent="0.2">
      <c r="A32" s="5">
        <v>18</v>
      </c>
      <c r="B32" s="6" t="s">
        <v>41</v>
      </c>
      <c r="C32" s="5" t="s">
        <v>40</v>
      </c>
      <c r="D32" s="5"/>
      <c r="E32" s="5"/>
      <c r="F32" s="5"/>
      <c r="G32" s="7">
        <v>33798</v>
      </c>
      <c r="H32" s="7">
        <f>21182+619</f>
        <v>21801</v>
      </c>
      <c r="I32" s="7">
        <v>8416</v>
      </c>
      <c r="J32" s="8"/>
      <c r="K32" s="9"/>
      <c r="L32" s="9"/>
      <c r="M32" s="9"/>
    </row>
    <row r="33" spans="1:13" ht="15.75" customHeight="1" x14ac:dyDescent="0.2">
      <c r="A33" s="5">
        <v>19</v>
      </c>
      <c r="B33" s="6" t="s">
        <v>62</v>
      </c>
      <c r="C33" s="5" t="s">
        <v>40</v>
      </c>
      <c r="D33" s="5"/>
      <c r="E33" s="5"/>
      <c r="F33" s="5"/>
      <c r="G33" s="7">
        <v>15182</v>
      </c>
      <c r="H33" s="7">
        <v>115</v>
      </c>
      <c r="I33" s="7">
        <v>6160</v>
      </c>
      <c r="J33" s="8"/>
      <c r="K33" s="9"/>
      <c r="L33" s="9"/>
      <c r="M33" s="9"/>
    </row>
    <row r="34" spans="1:13" ht="15.75" customHeight="1" x14ac:dyDescent="0.2">
      <c r="A34" s="5">
        <v>20</v>
      </c>
      <c r="B34" s="6" t="s">
        <v>49</v>
      </c>
      <c r="C34" s="5" t="s">
        <v>40</v>
      </c>
      <c r="D34" s="5"/>
      <c r="E34" s="5"/>
      <c r="F34" s="5"/>
      <c r="G34" s="7">
        <v>819</v>
      </c>
      <c r="H34" s="7"/>
      <c r="I34" s="7">
        <v>450</v>
      </c>
      <c r="J34" s="8"/>
      <c r="K34" s="9"/>
      <c r="L34" s="9"/>
      <c r="M34" s="9"/>
    </row>
    <row r="35" spans="1:13" ht="15.75" customHeight="1" x14ac:dyDescent="0.2">
      <c r="A35" s="5">
        <v>21</v>
      </c>
      <c r="B35" s="6" t="s">
        <v>20</v>
      </c>
      <c r="C35" s="5" t="s">
        <v>40</v>
      </c>
      <c r="D35" s="5"/>
      <c r="E35" s="5"/>
      <c r="F35" s="5"/>
      <c r="G35" s="7">
        <v>81780</v>
      </c>
      <c r="H35" s="7">
        <v>6738</v>
      </c>
      <c r="I35" s="7">
        <v>18511</v>
      </c>
      <c r="J35" s="8"/>
      <c r="K35" s="9"/>
      <c r="L35" s="9"/>
      <c r="M35" s="9"/>
    </row>
    <row r="36" spans="1:13" ht="15.75" customHeight="1" x14ac:dyDescent="0.2">
      <c r="A36" s="5">
        <v>22</v>
      </c>
      <c r="B36" s="6" t="s">
        <v>22</v>
      </c>
      <c r="C36" s="5" t="s">
        <v>40</v>
      </c>
      <c r="D36" s="5"/>
      <c r="E36" s="5"/>
      <c r="F36" s="5"/>
      <c r="G36" s="7">
        <v>98354</v>
      </c>
      <c r="H36" s="7">
        <f>2654+15487</f>
        <v>18141</v>
      </c>
      <c r="I36" s="7">
        <v>42110</v>
      </c>
      <c r="J36" s="8"/>
      <c r="K36" s="9"/>
      <c r="L36" s="9"/>
      <c r="M36" s="9"/>
    </row>
    <row r="37" spans="1:13" ht="15.75" customHeight="1" x14ac:dyDescent="0.2">
      <c r="A37" s="5">
        <v>23</v>
      </c>
      <c r="B37" s="6" t="s">
        <v>55</v>
      </c>
      <c r="C37" s="5" t="s">
        <v>40</v>
      </c>
      <c r="D37" s="5"/>
      <c r="E37" s="5"/>
      <c r="F37" s="5"/>
      <c r="G37" s="7">
        <v>92618</v>
      </c>
      <c r="H37" s="7">
        <f>4817+11734</f>
        <v>16551</v>
      </c>
      <c r="I37" s="7">
        <v>104883</v>
      </c>
      <c r="J37" s="8"/>
      <c r="K37" s="9"/>
      <c r="L37" s="9"/>
      <c r="M37" s="9"/>
    </row>
    <row r="38" spans="1:13" ht="15.75" customHeight="1" x14ac:dyDescent="0.2">
      <c r="A38" s="5">
        <v>24</v>
      </c>
      <c r="B38" s="6" t="s">
        <v>19</v>
      </c>
      <c r="C38" s="5" t="s">
        <v>40</v>
      </c>
      <c r="D38" s="5"/>
      <c r="E38" s="5"/>
      <c r="F38" s="5"/>
      <c r="G38" s="7">
        <v>44390</v>
      </c>
      <c r="H38" s="7">
        <f>18690+3300</f>
        <v>21990</v>
      </c>
      <c r="I38" s="7">
        <v>19434</v>
      </c>
      <c r="J38" s="8"/>
      <c r="K38" s="9"/>
      <c r="L38" s="9"/>
      <c r="M38" s="9"/>
    </row>
    <row r="39" spans="1:13" ht="15.75" customHeight="1" x14ac:dyDescent="0.2">
      <c r="A39" s="5">
        <v>25</v>
      </c>
      <c r="B39" s="6" t="s">
        <v>24</v>
      </c>
      <c r="C39" s="5" t="s">
        <v>40</v>
      </c>
      <c r="D39" s="5"/>
      <c r="E39" s="5"/>
      <c r="F39" s="5"/>
      <c r="G39" s="7">
        <v>109334</v>
      </c>
      <c r="H39" s="7">
        <f>2323+25533</f>
        <v>27856</v>
      </c>
      <c r="I39" s="7">
        <v>36611</v>
      </c>
      <c r="J39" s="8"/>
      <c r="K39" s="9"/>
      <c r="L39" s="9"/>
      <c r="M39" s="9"/>
    </row>
    <row r="40" spans="1:13" ht="15.75" customHeight="1" x14ac:dyDescent="0.2">
      <c r="A40" s="5">
        <v>26</v>
      </c>
      <c r="B40" s="6" t="s">
        <v>48</v>
      </c>
      <c r="C40" s="5" t="s">
        <v>40</v>
      </c>
      <c r="D40" s="5"/>
      <c r="E40" s="5"/>
      <c r="F40" s="5"/>
      <c r="G40" s="7">
        <v>1331</v>
      </c>
      <c r="H40" s="7"/>
      <c r="I40" s="7">
        <v>528</v>
      </c>
      <c r="J40" s="8"/>
      <c r="K40" s="9"/>
      <c r="L40" s="9"/>
      <c r="M40" s="9"/>
    </row>
    <row r="41" spans="1:13" ht="15.75" customHeight="1" x14ac:dyDescent="0.2">
      <c r="A41" s="5">
        <v>27</v>
      </c>
      <c r="B41" s="6" t="s">
        <v>42</v>
      </c>
      <c r="C41" s="5" t="s">
        <v>40</v>
      </c>
      <c r="D41" s="5"/>
      <c r="E41" s="5"/>
      <c r="F41" s="5"/>
      <c r="G41" s="7">
        <v>14267</v>
      </c>
      <c r="H41" s="7">
        <v>1164</v>
      </c>
      <c r="I41" s="7">
        <v>3298</v>
      </c>
      <c r="J41" s="8"/>
      <c r="K41" s="9"/>
      <c r="L41" s="9"/>
      <c r="M41" s="9"/>
    </row>
    <row r="42" spans="1:13" ht="15.75" customHeight="1" x14ac:dyDescent="0.2">
      <c r="A42" s="5">
        <v>28</v>
      </c>
      <c r="B42" s="6" t="s">
        <v>54</v>
      </c>
      <c r="C42" s="5" t="s">
        <v>40</v>
      </c>
      <c r="D42" s="5"/>
      <c r="E42" s="5"/>
      <c r="F42" s="5"/>
      <c r="G42" s="7">
        <v>8142</v>
      </c>
      <c r="H42" s="7">
        <v>2047</v>
      </c>
      <c r="I42" s="7">
        <v>3231</v>
      </c>
      <c r="J42" s="8"/>
      <c r="K42" s="9"/>
      <c r="L42" s="9"/>
      <c r="M42" s="9"/>
    </row>
    <row r="43" spans="1:13" ht="15.75" customHeight="1" x14ac:dyDescent="0.2">
      <c r="A43" s="5">
        <v>29</v>
      </c>
      <c r="B43" s="6" t="s">
        <v>43</v>
      </c>
      <c r="C43" s="5" t="s">
        <v>40</v>
      </c>
      <c r="D43" s="5"/>
      <c r="E43" s="5"/>
      <c r="F43" s="5"/>
      <c r="G43" s="7">
        <v>5951</v>
      </c>
      <c r="H43" s="7">
        <v>40</v>
      </c>
      <c r="I43" s="7">
        <v>3907</v>
      </c>
      <c r="J43" s="8"/>
      <c r="K43" s="9"/>
      <c r="L43" s="9"/>
      <c r="M43" s="9"/>
    </row>
    <row r="44" spans="1:13" ht="15.75" customHeight="1" x14ac:dyDescent="0.2">
      <c r="A44" s="5">
        <v>30</v>
      </c>
      <c r="B44" s="6" t="s">
        <v>63</v>
      </c>
      <c r="C44" s="5" t="s">
        <v>40</v>
      </c>
      <c r="D44" s="5"/>
      <c r="E44" s="5"/>
      <c r="F44" s="5"/>
      <c r="G44" s="7">
        <v>32706</v>
      </c>
      <c r="H44" s="7">
        <f>1416+4692</f>
        <v>6108</v>
      </c>
      <c r="I44" s="7">
        <v>20605</v>
      </c>
      <c r="J44" s="8"/>
      <c r="K44" s="9"/>
      <c r="L44" s="9"/>
      <c r="M44" s="9"/>
    </row>
    <row r="45" spans="1:13" ht="15.75" customHeight="1" x14ac:dyDescent="0.2">
      <c r="A45" s="5">
        <v>31</v>
      </c>
      <c r="B45" s="6" t="s">
        <v>64</v>
      </c>
      <c r="C45" s="5" t="s">
        <v>40</v>
      </c>
      <c r="D45" s="5"/>
      <c r="E45" s="5"/>
      <c r="F45" s="5"/>
      <c r="G45" s="7">
        <v>1473</v>
      </c>
      <c r="H45" s="7"/>
      <c r="I45" s="7">
        <v>730</v>
      </c>
      <c r="J45" s="8"/>
      <c r="K45" s="9"/>
      <c r="L45" s="9"/>
      <c r="M45" s="9"/>
    </row>
    <row r="46" spans="1:13" ht="15.75" customHeight="1" x14ac:dyDescent="0.2">
      <c r="A46" s="5">
        <v>32</v>
      </c>
      <c r="B46" s="10" t="s">
        <v>65</v>
      </c>
      <c r="C46" s="5" t="s">
        <v>40</v>
      </c>
      <c r="D46" s="5"/>
      <c r="E46" s="5"/>
      <c r="F46" s="5"/>
      <c r="G46" s="7">
        <v>74128</v>
      </c>
      <c r="H46" s="7">
        <f>139+5053</f>
        <v>5192</v>
      </c>
      <c r="I46" s="7">
        <v>17530</v>
      </c>
      <c r="J46" s="8"/>
      <c r="K46" s="9"/>
      <c r="L46" s="9"/>
      <c r="M46" s="9"/>
    </row>
    <row r="47" spans="1:13" ht="15.75" customHeight="1" x14ac:dyDescent="0.2">
      <c r="A47" s="5">
        <v>33</v>
      </c>
      <c r="B47" s="10" t="s">
        <v>52</v>
      </c>
      <c r="C47" s="5" t="s">
        <v>40</v>
      </c>
      <c r="D47" s="5"/>
      <c r="E47" s="5"/>
      <c r="F47" s="5"/>
      <c r="G47" s="7">
        <v>19657</v>
      </c>
      <c r="H47" s="7">
        <v>3685</v>
      </c>
      <c r="I47" s="7">
        <v>13286</v>
      </c>
      <c r="J47" s="8"/>
      <c r="K47" s="9"/>
      <c r="L47" s="9"/>
      <c r="M47" s="9"/>
    </row>
    <row r="48" spans="1:13" ht="15.75" customHeight="1" x14ac:dyDescent="0.2">
      <c r="A48" s="5">
        <v>34</v>
      </c>
      <c r="B48" s="10" t="s">
        <v>21</v>
      </c>
      <c r="C48" s="5" t="s">
        <v>40</v>
      </c>
      <c r="D48" s="5"/>
      <c r="E48" s="5"/>
      <c r="F48" s="5"/>
      <c r="G48" s="7">
        <f>69824+1127+634</f>
        <v>71585</v>
      </c>
      <c r="H48" s="7">
        <f>6259+6638</f>
        <v>12897</v>
      </c>
      <c r="I48" s="7">
        <v>25006</v>
      </c>
      <c r="J48" s="8"/>
      <c r="K48" s="9"/>
      <c r="L48" s="9"/>
      <c r="M48" s="9"/>
    </row>
    <row r="49" spans="1:13" ht="15.75" customHeight="1" x14ac:dyDescent="0.2">
      <c r="A49" s="5">
        <v>35</v>
      </c>
      <c r="B49" s="10" t="s">
        <v>50</v>
      </c>
      <c r="C49" s="5" t="s">
        <v>40</v>
      </c>
      <c r="D49" s="5"/>
      <c r="E49" s="5"/>
      <c r="F49" s="5"/>
      <c r="G49" s="7">
        <v>7106</v>
      </c>
      <c r="H49" s="7">
        <v>291</v>
      </c>
      <c r="I49" s="7">
        <v>2671</v>
      </c>
      <c r="J49" s="8"/>
      <c r="K49" s="9"/>
      <c r="L49" s="9"/>
      <c r="M49" s="9"/>
    </row>
    <row r="50" spans="1:13" ht="15.75" customHeight="1" x14ac:dyDescent="0.2">
      <c r="A50" s="5">
        <v>36</v>
      </c>
      <c r="B50" s="10" t="s">
        <v>23</v>
      </c>
      <c r="C50" s="5" t="s">
        <v>40</v>
      </c>
      <c r="D50" s="5"/>
      <c r="E50" s="5"/>
      <c r="F50" s="5"/>
      <c r="G50" s="7">
        <v>27987</v>
      </c>
      <c r="H50" s="7">
        <v>1857</v>
      </c>
      <c r="I50" s="7">
        <v>16349</v>
      </c>
      <c r="J50" s="8"/>
      <c r="K50" s="9"/>
      <c r="L50" s="9"/>
      <c r="M50" s="9"/>
    </row>
    <row r="51" spans="1:13" ht="15.75" customHeight="1" x14ac:dyDescent="0.2">
      <c r="A51" s="5">
        <v>37</v>
      </c>
      <c r="B51" s="10" t="s">
        <v>44</v>
      </c>
      <c r="C51" s="5" t="s">
        <v>40</v>
      </c>
      <c r="D51" s="5"/>
      <c r="E51" s="5"/>
      <c r="F51" s="5"/>
      <c r="G51" s="7">
        <v>8993</v>
      </c>
      <c r="H51" s="7"/>
      <c r="I51" s="7">
        <v>2649</v>
      </c>
      <c r="J51" s="8"/>
      <c r="K51" s="9"/>
      <c r="L51" s="9"/>
      <c r="M51" s="9"/>
    </row>
    <row r="52" spans="1:13" ht="13.5" customHeight="1" x14ac:dyDescent="0.2">
      <c r="A52" s="16" t="s">
        <v>4</v>
      </c>
      <c r="B52" s="16"/>
      <c r="C52" s="11" t="s">
        <v>40</v>
      </c>
      <c r="D52" s="12" t="s">
        <v>66</v>
      </c>
      <c r="E52" s="12" t="s">
        <v>66</v>
      </c>
      <c r="F52" s="12" t="s">
        <v>66</v>
      </c>
      <c r="G52" s="12">
        <f>SUM(G15:G51)</f>
        <v>1236824</v>
      </c>
      <c r="H52" s="12">
        <f t="shared" ref="H52:I52" si="0">SUM(H15:H51)</f>
        <v>269942</v>
      </c>
      <c r="I52" s="12">
        <f t="shared" si="0"/>
        <v>546575</v>
      </c>
    </row>
    <row r="53" spans="1:13" x14ac:dyDescent="0.2">
      <c r="G53" s="13"/>
      <c r="H53" s="13"/>
      <c r="I53" s="13"/>
      <c r="J53" s="8"/>
    </row>
    <row r="54" spans="1:13" x14ac:dyDescent="0.2">
      <c r="G54" s="13"/>
      <c r="H54" s="13"/>
      <c r="I54" s="13"/>
    </row>
    <row r="58" spans="1:13" x14ac:dyDescent="0.2">
      <c r="C58" s="14"/>
      <c r="D58" s="14"/>
      <c r="E58" s="14"/>
      <c r="F58" s="14"/>
    </row>
  </sheetData>
  <mergeCells count="14">
    <mergeCell ref="H7:I7"/>
    <mergeCell ref="H1:I1"/>
    <mergeCell ref="H2:I2"/>
    <mergeCell ref="H3:I3"/>
    <mergeCell ref="H4:I4"/>
    <mergeCell ref="H5:I5"/>
    <mergeCell ref="H6:I6"/>
    <mergeCell ref="A52:B52"/>
    <mergeCell ref="A9:I10"/>
    <mergeCell ref="A12:A14"/>
    <mergeCell ref="B12:B14"/>
    <mergeCell ref="C12:C14"/>
    <mergeCell ref="G13:I13"/>
    <mergeCell ref="D12:I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activeCell="G15" sqref="G15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5" t="s">
        <v>39</v>
      </c>
      <c r="I1" s="15"/>
    </row>
    <row r="2" spans="1:13" x14ac:dyDescent="0.2">
      <c r="H2" s="15" t="s">
        <v>26</v>
      </c>
      <c r="I2" s="15"/>
    </row>
    <row r="3" spans="1:13" x14ac:dyDescent="0.2">
      <c r="H3" s="15" t="s">
        <v>27</v>
      </c>
      <c r="I3" s="15"/>
    </row>
    <row r="4" spans="1:13" x14ac:dyDescent="0.2">
      <c r="H4" s="15" t="s">
        <v>28</v>
      </c>
      <c r="I4" s="15"/>
    </row>
    <row r="5" spans="1:13" x14ac:dyDescent="0.2">
      <c r="H5" s="15" t="s">
        <v>29</v>
      </c>
      <c r="I5" s="15"/>
    </row>
    <row r="6" spans="1:13" x14ac:dyDescent="0.2">
      <c r="C6" s="2"/>
      <c r="D6" s="2"/>
      <c r="E6" s="2"/>
      <c r="F6" s="2"/>
      <c r="G6" s="2"/>
      <c r="H6" s="15" t="s">
        <v>30</v>
      </c>
      <c r="I6" s="15"/>
    </row>
    <row r="7" spans="1:13" x14ac:dyDescent="0.2">
      <c r="G7" s="2"/>
      <c r="H7" s="15" t="s">
        <v>3</v>
      </c>
      <c r="I7" s="15"/>
    </row>
    <row r="9" spans="1:13" ht="12.75" customHeight="1" x14ac:dyDescent="0.2">
      <c r="A9" s="17" t="s">
        <v>31</v>
      </c>
      <c r="B9" s="17"/>
      <c r="C9" s="17"/>
      <c r="D9" s="17"/>
      <c r="E9" s="17"/>
      <c r="F9" s="17"/>
      <c r="G9" s="17"/>
      <c r="H9" s="17"/>
      <c r="I9" s="17"/>
      <c r="J9" s="3"/>
    </row>
    <row r="10" spans="1:13" ht="30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3"/>
    </row>
    <row r="12" spans="1:13" x14ac:dyDescent="0.2">
      <c r="A12" s="18" t="s">
        <v>0</v>
      </c>
      <c r="B12" s="21" t="s">
        <v>1</v>
      </c>
      <c r="C12" s="22" t="s">
        <v>2</v>
      </c>
      <c r="D12" s="21" t="s">
        <v>13</v>
      </c>
      <c r="E12" s="21"/>
      <c r="F12" s="21"/>
      <c r="G12" s="21"/>
      <c r="H12" s="21"/>
      <c r="I12" s="21"/>
    </row>
    <row r="13" spans="1:13" x14ac:dyDescent="0.2">
      <c r="A13" s="19"/>
      <c r="B13" s="21"/>
      <c r="C13" s="23"/>
      <c r="D13" s="4" t="s">
        <v>32</v>
      </c>
      <c r="E13" s="4" t="s">
        <v>33</v>
      </c>
      <c r="F13" s="4" t="s">
        <v>34</v>
      </c>
      <c r="G13" s="21" t="s">
        <v>35</v>
      </c>
      <c r="H13" s="21"/>
      <c r="I13" s="21"/>
    </row>
    <row r="14" spans="1:13" ht="28.5" customHeight="1" x14ac:dyDescent="0.2">
      <c r="A14" s="20"/>
      <c r="B14" s="21"/>
      <c r="C14" s="24"/>
      <c r="D14" s="4"/>
      <c r="E14" s="4"/>
      <c r="F14" s="4"/>
      <c r="G14" s="4" t="s">
        <v>36</v>
      </c>
      <c r="H14" s="4" t="s">
        <v>37</v>
      </c>
      <c r="I14" s="4" t="s">
        <v>38</v>
      </c>
    </row>
    <row r="15" spans="1:13" ht="15.75" customHeight="1" x14ac:dyDescent="0.2">
      <c r="A15" s="5">
        <v>1</v>
      </c>
      <c r="B15" s="6" t="s">
        <v>25</v>
      </c>
      <c r="C15" s="5" t="s">
        <v>40</v>
      </c>
      <c r="D15" s="5"/>
      <c r="E15" s="5"/>
      <c r="F15" s="5"/>
      <c r="G15" s="7">
        <v>32414</v>
      </c>
      <c r="H15" s="7">
        <v>16161</v>
      </c>
      <c r="I15" s="7">
        <v>53100</v>
      </c>
      <c r="J15" s="8"/>
      <c r="K15" s="9"/>
      <c r="L15" s="9"/>
      <c r="M15" s="9"/>
    </row>
    <row r="16" spans="1:13" ht="15.75" customHeight="1" x14ac:dyDescent="0.2">
      <c r="A16" s="5">
        <v>2</v>
      </c>
      <c r="B16" s="6" t="s">
        <v>47</v>
      </c>
      <c r="C16" s="5" t="s">
        <v>40</v>
      </c>
      <c r="D16" s="5"/>
      <c r="E16" s="5"/>
      <c r="F16" s="5"/>
      <c r="G16" s="7">
        <v>12012</v>
      </c>
      <c r="H16" s="7">
        <v>1133</v>
      </c>
      <c r="I16" s="7">
        <v>8142</v>
      </c>
      <c r="J16" s="8"/>
      <c r="K16" s="9"/>
      <c r="L16" s="9"/>
      <c r="M16" s="9"/>
    </row>
    <row r="17" spans="1:13" ht="15.75" customHeight="1" x14ac:dyDescent="0.2">
      <c r="A17" s="5">
        <v>3</v>
      </c>
      <c r="B17" s="6" t="s">
        <v>58</v>
      </c>
      <c r="C17" s="5" t="s">
        <v>40</v>
      </c>
      <c r="D17" s="5"/>
      <c r="E17" s="5"/>
      <c r="F17" s="5"/>
      <c r="G17" s="7">
        <v>1682</v>
      </c>
      <c r="H17" s="7"/>
      <c r="I17" s="7">
        <v>589</v>
      </c>
      <c r="J17" s="8"/>
      <c r="K17" s="9"/>
      <c r="L17" s="9"/>
      <c r="M17" s="9"/>
    </row>
    <row r="18" spans="1:13" ht="15.75" customHeight="1" x14ac:dyDescent="0.2">
      <c r="A18" s="5">
        <v>4</v>
      </c>
      <c r="B18" s="6" t="s">
        <v>15</v>
      </c>
      <c r="C18" s="5" t="s">
        <v>40</v>
      </c>
      <c r="D18" s="5"/>
      <c r="E18" s="5"/>
      <c r="F18" s="5"/>
      <c r="G18" s="7">
        <v>65989</v>
      </c>
      <c r="H18" s="7">
        <v>2740</v>
      </c>
      <c r="I18" s="7">
        <v>6024</v>
      </c>
      <c r="J18" s="8"/>
      <c r="K18" s="9"/>
      <c r="L18" s="9"/>
      <c r="M18" s="9"/>
    </row>
    <row r="19" spans="1:13" ht="15.75" customHeight="1" x14ac:dyDescent="0.2">
      <c r="A19" s="5">
        <v>5</v>
      </c>
      <c r="B19" s="6" t="s">
        <v>46</v>
      </c>
      <c r="C19" s="5" t="s">
        <v>40</v>
      </c>
      <c r="D19" s="5"/>
      <c r="E19" s="5"/>
      <c r="F19" s="5"/>
      <c r="G19" s="7">
        <v>4886</v>
      </c>
      <c r="H19" s="7">
        <v>215</v>
      </c>
      <c r="I19" s="7">
        <v>1419</v>
      </c>
      <c r="J19" s="8"/>
      <c r="K19" s="9"/>
      <c r="L19" s="9"/>
      <c r="M19" s="9"/>
    </row>
    <row r="20" spans="1:13" ht="15.75" customHeight="1" x14ac:dyDescent="0.2">
      <c r="A20" s="5">
        <v>6</v>
      </c>
      <c r="B20" s="6" t="s">
        <v>16</v>
      </c>
      <c r="C20" s="5" t="s">
        <v>40</v>
      </c>
      <c r="D20" s="5"/>
      <c r="E20" s="5"/>
      <c r="F20" s="5"/>
      <c r="G20" s="7">
        <v>63950</v>
      </c>
      <c r="H20" s="7">
        <f>27655+17662</f>
        <v>45317</v>
      </c>
      <c r="I20" s="7">
        <v>39727</v>
      </c>
      <c r="J20" s="8"/>
      <c r="K20" s="9"/>
      <c r="L20" s="9"/>
      <c r="M20" s="9"/>
    </row>
    <row r="21" spans="1:13" ht="15.75" customHeight="1" x14ac:dyDescent="0.2">
      <c r="A21" s="5">
        <v>7</v>
      </c>
      <c r="B21" s="6" t="s">
        <v>56</v>
      </c>
      <c r="C21" s="5" t="s">
        <v>40</v>
      </c>
      <c r="D21" s="5"/>
      <c r="E21" s="5"/>
      <c r="F21" s="5"/>
      <c r="G21" s="7">
        <v>10777</v>
      </c>
      <c r="H21" s="7">
        <f>6096+1324</f>
        <v>7420</v>
      </c>
      <c r="I21" s="7">
        <v>3116</v>
      </c>
      <c r="J21" s="8"/>
      <c r="K21" s="9"/>
      <c r="L21" s="9"/>
      <c r="M21" s="9"/>
    </row>
    <row r="22" spans="1:13" ht="15.75" customHeight="1" x14ac:dyDescent="0.2">
      <c r="A22" s="5">
        <v>8</v>
      </c>
      <c r="B22" s="6" t="s">
        <v>53</v>
      </c>
      <c r="C22" s="5" t="s">
        <v>40</v>
      </c>
      <c r="D22" s="5"/>
      <c r="E22" s="5"/>
      <c r="F22" s="5"/>
      <c r="G22" s="7">
        <v>7281</v>
      </c>
      <c r="H22" s="7">
        <v>289</v>
      </c>
      <c r="I22" s="7">
        <v>6300</v>
      </c>
      <c r="J22" s="8"/>
      <c r="K22" s="9"/>
      <c r="L22" s="9"/>
      <c r="M22" s="9"/>
    </row>
    <row r="23" spans="1:13" ht="15.75" customHeight="1" x14ac:dyDescent="0.2">
      <c r="A23" s="5">
        <v>9</v>
      </c>
      <c r="B23" s="6" t="s">
        <v>57</v>
      </c>
      <c r="C23" s="5" t="s">
        <v>40</v>
      </c>
      <c r="D23" s="5"/>
      <c r="E23" s="5"/>
      <c r="F23" s="5"/>
      <c r="G23" s="7">
        <v>4988</v>
      </c>
      <c r="H23" s="7">
        <f>176+282</f>
        <v>458</v>
      </c>
      <c r="I23" s="7">
        <v>3083</v>
      </c>
      <c r="J23" s="8"/>
      <c r="K23" s="9"/>
      <c r="L23" s="9"/>
      <c r="M23" s="9"/>
    </row>
    <row r="24" spans="1:13" ht="15.75" customHeight="1" x14ac:dyDescent="0.2">
      <c r="A24" s="5">
        <v>10</v>
      </c>
      <c r="B24" s="6" t="s">
        <v>59</v>
      </c>
      <c r="C24" s="5" t="s">
        <v>40</v>
      </c>
      <c r="D24" s="5"/>
      <c r="E24" s="5"/>
      <c r="F24" s="5"/>
      <c r="G24" s="7">
        <v>2444</v>
      </c>
      <c r="H24" s="7">
        <v>1188</v>
      </c>
      <c r="I24" s="7">
        <v>928</v>
      </c>
      <c r="J24" s="8"/>
      <c r="K24" s="9"/>
      <c r="L24" s="9"/>
      <c r="M24" s="9"/>
    </row>
    <row r="25" spans="1:13" ht="15.75" customHeight="1" x14ac:dyDescent="0.2">
      <c r="A25" s="5">
        <v>11</v>
      </c>
      <c r="B25" s="6" t="s">
        <v>45</v>
      </c>
      <c r="C25" s="5" t="s">
        <v>40</v>
      </c>
      <c r="D25" s="5"/>
      <c r="E25" s="5"/>
      <c r="F25" s="5"/>
      <c r="G25" s="7">
        <v>12840</v>
      </c>
      <c r="H25" s="7"/>
      <c r="I25" s="7">
        <v>4300</v>
      </c>
      <c r="J25" s="8"/>
      <c r="K25" s="9"/>
      <c r="L25" s="9"/>
      <c r="M25" s="9"/>
    </row>
    <row r="26" spans="1:13" ht="15.75" customHeight="1" x14ac:dyDescent="0.2">
      <c r="A26" s="5">
        <v>12</v>
      </c>
      <c r="B26" s="6" t="s">
        <v>14</v>
      </c>
      <c r="C26" s="5" t="s">
        <v>40</v>
      </c>
      <c r="D26" s="5"/>
      <c r="E26" s="5"/>
      <c r="F26" s="5"/>
      <c r="G26" s="7">
        <v>84081</v>
      </c>
      <c r="H26" s="7">
        <f>1150+13278-2976</f>
        <v>11452</v>
      </c>
      <c r="I26" s="7">
        <f>21669+2976</f>
        <v>24645</v>
      </c>
      <c r="J26" s="8"/>
      <c r="K26" s="9"/>
      <c r="L26" s="9"/>
      <c r="M26" s="9"/>
    </row>
    <row r="27" spans="1:13" ht="15.75" customHeight="1" x14ac:dyDescent="0.2">
      <c r="A27" s="5">
        <v>13</v>
      </c>
      <c r="B27" s="6" t="s">
        <v>51</v>
      </c>
      <c r="C27" s="5" t="s">
        <v>40</v>
      </c>
      <c r="D27" s="5"/>
      <c r="E27" s="5"/>
      <c r="F27" s="5"/>
      <c r="G27" s="7">
        <v>10320</v>
      </c>
      <c r="H27" s="7">
        <v>2261</v>
      </c>
      <c r="I27" s="7">
        <v>4079</v>
      </c>
      <c r="J27" s="8"/>
      <c r="K27" s="9"/>
      <c r="L27" s="9"/>
      <c r="M27" s="9"/>
    </row>
    <row r="28" spans="1:13" ht="15.75" customHeight="1" x14ac:dyDescent="0.2">
      <c r="A28" s="5">
        <v>14</v>
      </c>
      <c r="B28" s="6" t="s">
        <v>18</v>
      </c>
      <c r="C28" s="5" t="s">
        <v>40</v>
      </c>
      <c r="D28" s="5"/>
      <c r="E28" s="5"/>
      <c r="F28" s="5"/>
      <c r="G28" s="7">
        <v>76678</v>
      </c>
      <c r="H28" s="7">
        <v>3555</v>
      </c>
      <c r="I28" s="7">
        <v>23865</v>
      </c>
      <c r="J28" s="8"/>
      <c r="K28" s="9"/>
      <c r="L28" s="9"/>
      <c r="M28" s="9"/>
    </row>
    <row r="29" spans="1:13" ht="15.75" customHeight="1" x14ac:dyDescent="0.2">
      <c r="A29" s="5">
        <v>15</v>
      </c>
      <c r="B29" s="10" t="s">
        <v>60</v>
      </c>
      <c r="C29" s="5" t="s">
        <v>40</v>
      </c>
      <c r="D29" s="5"/>
      <c r="E29" s="5"/>
      <c r="F29" s="5"/>
      <c r="G29" s="7">
        <v>6791</v>
      </c>
      <c r="H29" s="7">
        <v>122</v>
      </c>
      <c r="I29" s="7">
        <v>1278</v>
      </c>
      <c r="J29" s="8"/>
      <c r="K29" s="9"/>
      <c r="L29" s="9"/>
      <c r="M29" s="9"/>
    </row>
    <row r="30" spans="1:13" ht="15.75" customHeight="1" x14ac:dyDescent="0.2">
      <c r="A30" s="5">
        <v>16</v>
      </c>
      <c r="B30" s="10" t="s">
        <v>17</v>
      </c>
      <c r="C30" s="5" t="s">
        <v>40</v>
      </c>
      <c r="D30" s="5"/>
      <c r="E30" s="5"/>
      <c r="F30" s="5"/>
      <c r="G30" s="7">
        <v>61799</v>
      </c>
      <c r="H30" s="7">
        <f>42420+1378</f>
        <v>43798</v>
      </c>
      <c r="I30" s="7">
        <v>17795</v>
      </c>
      <c r="J30" s="8"/>
      <c r="K30" s="9"/>
      <c r="L30" s="9"/>
      <c r="M30" s="9"/>
    </row>
    <row r="31" spans="1:13" ht="15.75" customHeight="1" x14ac:dyDescent="0.2">
      <c r="A31" s="5">
        <v>17</v>
      </c>
      <c r="B31" s="10" t="s">
        <v>61</v>
      </c>
      <c r="C31" s="5" t="s">
        <v>40</v>
      </c>
      <c r="D31" s="5"/>
      <c r="E31" s="5"/>
      <c r="F31" s="5"/>
      <c r="G31" s="7">
        <v>15194</v>
      </c>
      <c r="H31" s="7">
        <v>241</v>
      </c>
      <c r="I31" s="7">
        <v>1562</v>
      </c>
      <c r="J31" s="8"/>
      <c r="K31" s="9"/>
      <c r="L31" s="9"/>
      <c r="M31" s="9"/>
    </row>
    <row r="32" spans="1:13" ht="15.75" customHeight="1" x14ac:dyDescent="0.2">
      <c r="A32" s="5">
        <v>18</v>
      </c>
      <c r="B32" s="6" t="s">
        <v>41</v>
      </c>
      <c r="C32" s="5" t="s">
        <v>40</v>
      </c>
      <c r="D32" s="5"/>
      <c r="E32" s="5"/>
      <c r="F32" s="5"/>
      <c r="G32" s="7">
        <v>29113</v>
      </c>
      <c r="H32" s="7">
        <f>28418+628</f>
        <v>29046</v>
      </c>
      <c r="I32" s="7">
        <v>8556</v>
      </c>
      <c r="J32" s="8"/>
      <c r="K32" s="9"/>
      <c r="L32" s="9"/>
      <c r="M32" s="9"/>
    </row>
    <row r="33" spans="1:13" ht="15.75" customHeight="1" x14ac:dyDescent="0.2">
      <c r="A33" s="5">
        <v>19</v>
      </c>
      <c r="B33" s="6" t="s">
        <v>62</v>
      </c>
      <c r="C33" s="5" t="s">
        <v>40</v>
      </c>
      <c r="D33" s="5"/>
      <c r="E33" s="5"/>
      <c r="F33" s="5"/>
      <c r="G33" s="7">
        <v>13590</v>
      </c>
      <c r="H33" s="7">
        <v>103</v>
      </c>
      <c r="I33" s="7">
        <v>6504</v>
      </c>
      <c r="J33" s="8"/>
      <c r="K33" s="9"/>
      <c r="L33" s="9"/>
      <c r="M33" s="9"/>
    </row>
    <row r="34" spans="1:13" ht="15.75" customHeight="1" x14ac:dyDescent="0.2">
      <c r="A34" s="5">
        <v>20</v>
      </c>
      <c r="B34" s="6" t="s">
        <v>49</v>
      </c>
      <c r="C34" s="5" t="s">
        <v>40</v>
      </c>
      <c r="D34" s="5"/>
      <c r="E34" s="5"/>
      <c r="F34" s="5"/>
      <c r="G34" s="7">
        <v>803</v>
      </c>
      <c r="H34" s="7"/>
      <c r="I34" s="7">
        <v>362</v>
      </c>
      <c r="J34" s="8"/>
      <c r="K34" s="9"/>
      <c r="L34" s="9"/>
      <c r="M34" s="9"/>
    </row>
    <row r="35" spans="1:13" ht="15.75" customHeight="1" x14ac:dyDescent="0.2">
      <c r="A35" s="5">
        <v>21</v>
      </c>
      <c r="B35" s="6" t="s">
        <v>20</v>
      </c>
      <c r="C35" s="5" t="s">
        <v>40</v>
      </c>
      <c r="D35" s="5"/>
      <c r="E35" s="5"/>
      <c r="F35" s="5"/>
      <c r="G35" s="7">
        <v>86339</v>
      </c>
      <c r="H35" s="7">
        <v>6686</v>
      </c>
      <c r="I35" s="7">
        <v>17484</v>
      </c>
      <c r="J35" s="8"/>
      <c r="K35" s="9"/>
      <c r="L35" s="9"/>
      <c r="M35" s="9"/>
    </row>
    <row r="36" spans="1:13" ht="15.75" customHeight="1" x14ac:dyDescent="0.2">
      <c r="A36" s="5">
        <v>22</v>
      </c>
      <c r="B36" s="6" t="s">
        <v>22</v>
      </c>
      <c r="C36" s="5" t="s">
        <v>40</v>
      </c>
      <c r="D36" s="5"/>
      <c r="E36" s="5"/>
      <c r="F36" s="5"/>
      <c r="G36" s="7">
        <v>92381</v>
      </c>
      <c r="H36" s="7">
        <f>1235+16007</f>
        <v>17242</v>
      </c>
      <c r="I36" s="7">
        <v>44157</v>
      </c>
      <c r="J36" s="8"/>
      <c r="K36" s="9"/>
      <c r="L36" s="9"/>
      <c r="M36" s="9"/>
    </row>
    <row r="37" spans="1:13" ht="15.75" customHeight="1" x14ac:dyDescent="0.2">
      <c r="A37" s="5">
        <v>23</v>
      </c>
      <c r="B37" s="6" t="s">
        <v>55</v>
      </c>
      <c r="C37" s="5" t="s">
        <v>40</v>
      </c>
      <c r="D37" s="5"/>
      <c r="E37" s="5"/>
      <c r="F37" s="5"/>
      <c r="G37" s="7">
        <v>69418</v>
      </c>
      <c r="H37" s="7">
        <f>3068+12921</f>
        <v>15989</v>
      </c>
      <c r="I37" s="7">
        <v>103586</v>
      </c>
      <c r="J37" s="8"/>
      <c r="K37" s="9"/>
      <c r="L37" s="9"/>
      <c r="M37" s="9"/>
    </row>
    <row r="38" spans="1:13" ht="15.75" customHeight="1" x14ac:dyDescent="0.2">
      <c r="A38" s="5">
        <v>24</v>
      </c>
      <c r="B38" s="6" t="s">
        <v>19</v>
      </c>
      <c r="C38" s="5" t="s">
        <v>40</v>
      </c>
      <c r="D38" s="5"/>
      <c r="E38" s="5"/>
      <c r="F38" s="5"/>
      <c r="G38" s="7">
        <v>43546</v>
      </c>
      <c r="H38" s="7">
        <f>18292+3603</f>
        <v>21895</v>
      </c>
      <c r="I38" s="7">
        <v>25268</v>
      </c>
      <c r="J38" s="8"/>
      <c r="K38" s="9"/>
      <c r="L38" s="9"/>
      <c r="M38" s="9"/>
    </row>
    <row r="39" spans="1:13" ht="15.75" customHeight="1" x14ac:dyDescent="0.2">
      <c r="A39" s="5">
        <v>25</v>
      </c>
      <c r="B39" s="6" t="s">
        <v>24</v>
      </c>
      <c r="C39" s="5" t="s">
        <v>40</v>
      </c>
      <c r="D39" s="5"/>
      <c r="E39" s="5"/>
      <c r="F39" s="5"/>
      <c r="G39" s="7">
        <v>112909</v>
      </c>
      <c r="H39" s="7">
        <f>4820+37053</f>
        <v>41873</v>
      </c>
      <c r="I39" s="7">
        <v>43849</v>
      </c>
      <c r="J39" s="8"/>
      <c r="K39" s="9"/>
      <c r="L39" s="9"/>
      <c r="M39" s="9"/>
    </row>
    <row r="40" spans="1:13" ht="15.75" customHeight="1" x14ac:dyDescent="0.2">
      <c r="A40" s="5">
        <v>26</v>
      </c>
      <c r="B40" s="6" t="s">
        <v>48</v>
      </c>
      <c r="C40" s="5" t="s">
        <v>40</v>
      </c>
      <c r="D40" s="5"/>
      <c r="E40" s="5"/>
      <c r="F40" s="5"/>
      <c r="G40" s="7">
        <v>622</v>
      </c>
      <c r="H40" s="7"/>
      <c r="I40" s="7">
        <v>469</v>
      </c>
      <c r="J40" s="8"/>
      <c r="K40" s="9"/>
      <c r="L40" s="9"/>
      <c r="M40" s="9"/>
    </row>
    <row r="41" spans="1:13" ht="15.75" customHeight="1" x14ac:dyDescent="0.2">
      <c r="A41" s="5">
        <v>27</v>
      </c>
      <c r="B41" s="6" t="s">
        <v>42</v>
      </c>
      <c r="C41" s="5" t="s">
        <v>40</v>
      </c>
      <c r="D41" s="5"/>
      <c r="E41" s="5"/>
      <c r="F41" s="5"/>
      <c r="G41" s="7">
        <v>18162</v>
      </c>
      <c r="H41" s="7">
        <v>1520</v>
      </c>
      <c r="I41" s="7">
        <v>3844</v>
      </c>
      <c r="J41" s="8"/>
      <c r="K41" s="9"/>
      <c r="L41" s="9"/>
      <c r="M41" s="9"/>
    </row>
    <row r="42" spans="1:13" ht="15.75" customHeight="1" x14ac:dyDescent="0.2">
      <c r="A42" s="5">
        <v>28</v>
      </c>
      <c r="B42" s="6" t="s">
        <v>54</v>
      </c>
      <c r="C42" s="5" t="s">
        <v>40</v>
      </c>
      <c r="D42" s="5"/>
      <c r="E42" s="5"/>
      <c r="F42" s="5"/>
      <c r="G42" s="7">
        <v>8522</v>
      </c>
      <c r="H42" s="7">
        <v>2558</v>
      </c>
      <c r="I42" s="7">
        <v>3269</v>
      </c>
      <c r="J42" s="8"/>
      <c r="K42" s="9"/>
      <c r="L42" s="9"/>
      <c r="M42" s="9"/>
    </row>
    <row r="43" spans="1:13" ht="15.75" customHeight="1" x14ac:dyDescent="0.2">
      <c r="A43" s="5">
        <v>29</v>
      </c>
      <c r="B43" s="6" t="s">
        <v>43</v>
      </c>
      <c r="C43" s="5" t="s">
        <v>40</v>
      </c>
      <c r="D43" s="5"/>
      <c r="E43" s="5"/>
      <c r="F43" s="5"/>
      <c r="G43" s="7">
        <v>4759</v>
      </c>
      <c r="H43" s="7">
        <v>6</v>
      </c>
      <c r="I43" s="7">
        <v>3415</v>
      </c>
      <c r="J43" s="8"/>
      <c r="K43" s="9"/>
      <c r="L43" s="9"/>
      <c r="M43" s="9"/>
    </row>
    <row r="44" spans="1:13" ht="15.75" customHeight="1" x14ac:dyDescent="0.2">
      <c r="A44" s="5">
        <v>30</v>
      </c>
      <c r="B44" s="6" t="s">
        <v>63</v>
      </c>
      <c r="C44" s="5" t="s">
        <v>40</v>
      </c>
      <c r="D44" s="5"/>
      <c r="E44" s="5"/>
      <c r="F44" s="5"/>
      <c r="G44" s="7">
        <v>42434</v>
      </c>
      <c r="H44" s="7">
        <f>1063+3977</f>
        <v>5040</v>
      </c>
      <c r="I44" s="7">
        <v>18173</v>
      </c>
      <c r="J44" s="8"/>
      <c r="K44" s="9"/>
      <c r="L44" s="9"/>
      <c r="M44" s="9"/>
    </row>
    <row r="45" spans="1:13" ht="15.75" customHeight="1" x14ac:dyDescent="0.2">
      <c r="A45" s="5">
        <v>31</v>
      </c>
      <c r="B45" s="6" t="s">
        <v>64</v>
      </c>
      <c r="C45" s="5" t="s">
        <v>40</v>
      </c>
      <c r="D45" s="5"/>
      <c r="E45" s="5"/>
      <c r="F45" s="5"/>
      <c r="G45" s="7">
        <v>1767</v>
      </c>
      <c r="H45" s="7"/>
      <c r="I45" s="7">
        <v>652</v>
      </c>
      <c r="J45" s="8"/>
      <c r="K45" s="9"/>
      <c r="L45" s="9"/>
      <c r="M45" s="9"/>
    </row>
    <row r="46" spans="1:13" ht="15.75" customHeight="1" x14ac:dyDescent="0.2">
      <c r="A46" s="5">
        <v>32</v>
      </c>
      <c r="B46" s="10" t="s">
        <v>65</v>
      </c>
      <c r="C46" s="5" t="s">
        <v>40</v>
      </c>
      <c r="D46" s="5"/>
      <c r="E46" s="5"/>
      <c r="F46" s="5"/>
      <c r="G46" s="7">
        <v>62081</v>
      </c>
      <c r="H46" s="7">
        <f>1550+3886</f>
        <v>5436</v>
      </c>
      <c r="I46" s="7">
        <v>15332</v>
      </c>
      <c r="J46" s="8"/>
      <c r="K46" s="9"/>
      <c r="L46" s="9"/>
      <c r="M46" s="9"/>
    </row>
    <row r="47" spans="1:13" ht="15.75" customHeight="1" x14ac:dyDescent="0.2">
      <c r="A47" s="5">
        <v>33</v>
      </c>
      <c r="B47" s="10" t="s">
        <v>52</v>
      </c>
      <c r="C47" s="5" t="s">
        <v>40</v>
      </c>
      <c r="D47" s="5"/>
      <c r="E47" s="5"/>
      <c r="F47" s="5"/>
      <c r="G47" s="7">
        <v>19996</v>
      </c>
      <c r="H47" s="7">
        <v>3098</v>
      </c>
      <c r="I47" s="7">
        <v>13160</v>
      </c>
      <c r="J47" s="8"/>
      <c r="K47" s="9"/>
      <c r="L47" s="9"/>
      <c r="M47" s="9"/>
    </row>
    <row r="48" spans="1:13" ht="15.75" customHeight="1" x14ac:dyDescent="0.2">
      <c r="A48" s="5">
        <v>34</v>
      </c>
      <c r="B48" s="10" t="s">
        <v>21</v>
      </c>
      <c r="C48" s="5" t="s">
        <v>40</v>
      </c>
      <c r="D48" s="5"/>
      <c r="E48" s="5"/>
      <c r="F48" s="5"/>
      <c r="G48" s="7">
        <v>65624</v>
      </c>
      <c r="H48" s="7">
        <f>7216+9315</f>
        <v>16531</v>
      </c>
      <c r="I48" s="7">
        <v>24979</v>
      </c>
      <c r="J48" s="8"/>
      <c r="K48" s="9"/>
      <c r="L48" s="9"/>
      <c r="M48" s="9"/>
    </row>
    <row r="49" spans="1:13" ht="15.75" customHeight="1" x14ac:dyDescent="0.2">
      <c r="A49" s="5">
        <v>35</v>
      </c>
      <c r="B49" s="10" t="s">
        <v>50</v>
      </c>
      <c r="C49" s="5" t="s">
        <v>40</v>
      </c>
      <c r="D49" s="5"/>
      <c r="E49" s="5"/>
      <c r="F49" s="5"/>
      <c r="G49" s="7">
        <v>6316</v>
      </c>
      <c r="H49" s="7">
        <v>421</v>
      </c>
      <c r="I49" s="7">
        <v>2864</v>
      </c>
      <c r="J49" s="8"/>
      <c r="K49" s="9"/>
      <c r="L49" s="9"/>
      <c r="M49" s="9"/>
    </row>
    <row r="50" spans="1:13" ht="15.75" customHeight="1" x14ac:dyDescent="0.2">
      <c r="A50" s="5">
        <v>36</v>
      </c>
      <c r="B50" s="10" t="s">
        <v>23</v>
      </c>
      <c r="C50" s="5" t="s">
        <v>40</v>
      </c>
      <c r="D50" s="5"/>
      <c r="E50" s="5"/>
      <c r="F50" s="5"/>
      <c r="G50" s="7">
        <v>28003</v>
      </c>
      <c r="H50" s="7">
        <v>1340</v>
      </c>
      <c r="I50" s="7">
        <v>17622</v>
      </c>
      <c r="J50" s="8"/>
      <c r="K50" s="9"/>
      <c r="L50" s="9"/>
      <c r="M50" s="9"/>
    </row>
    <row r="51" spans="1:13" ht="15.75" customHeight="1" x14ac:dyDescent="0.2">
      <c r="A51" s="5">
        <v>37</v>
      </c>
      <c r="B51" s="10" t="s">
        <v>44</v>
      </c>
      <c r="C51" s="5" t="s">
        <v>40</v>
      </c>
      <c r="D51" s="5"/>
      <c r="E51" s="5"/>
      <c r="F51" s="5"/>
      <c r="G51" s="7">
        <v>8632</v>
      </c>
      <c r="H51" s="7"/>
      <c r="I51" s="7">
        <v>2711</v>
      </c>
      <c r="J51" s="8"/>
      <c r="K51" s="9"/>
      <c r="L51" s="9"/>
      <c r="M51" s="9"/>
    </row>
    <row r="52" spans="1:13" ht="13.5" customHeight="1" x14ac:dyDescent="0.2">
      <c r="A52" s="16" t="s">
        <v>4</v>
      </c>
      <c r="B52" s="16"/>
      <c r="C52" s="11" t="s">
        <v>40</v>
      </c>
      <c r="D52" s="12" t="s">
        <v>66</v>
      </c>
      <c r="E52" s="12" t="s">
        <v>66</v>
      </c>
      <c r="F52" s="12" t="s">
        <v>66</v>
      </c>
      <c r="G52" s="12">
        <f>SUM(G15:G51)</f>
        <v>1189143</v>
      </c>
      <c r="H52" s="12">
        <f t="shared" ref="H52:I52" si="0">SUM(H15:H51)</f>
        <v>305134</v>
      </c>
      <c r="I52" s="12">
        <f t="shared" si="0"/>
        <v>556208</v>
      </c>
    </row>
    <row r="53" spans="1:13" x14ac:dyDescent="0.2">
      <c r="G53" s="13"/>
      <c r="H53" s="13"/>
      <c r="I53" s="13"/>
      <c r="J53" s="8"/>
    </row>
    <row r="54" spans="1:13" x14ac:dyDescent="0.2">
      <c r="G54" s="13"/>
      <c r="H54" s="13"/>
      <c r="I54" s="13"/>
    </row>
    <row r="58" spans="1:13" x14ac:dyDescent="0.2">
      <c r="C58" s="14"/>
      <c r="D58" s="14"/>
      <c r="E58" s="14"/>
      <c r="F58" s="14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22" workbookViewId="0">
      <selection activeCell="G15" sqref="G15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5" t="s">
        <v>39</v>
      </c>
      <c r="I1" s="15"/>
    </row>
    <row r="2" spans="1:13" x14ac:dyDescent="0.2">
      <c r="H2" s="15" t="s">
        <v>26</v>
      </c>
      <c r="I2" s="15"/>
    </row>
    <row r="3" spans="1:13" x14ac:dyDescent="0.2">
      <c r="H3" s="15" t="s">
        <v>27</v>
      </c>
      <c r="I3" s="15"/>
    </row>
    <row r="4" spans="1:13" x14ac:dyDescent="0.2">
      <c r="H4" s="15" t="s">
        <v>28</v>
      </c>
      <c r="I4" s="15"/>
    </row>
    <row r="5" spans="1:13" x14ac:dyDescent="0.2">
      <c r="H5" s="15" t="s">
        <v>29</v>
      </c>
      <c r="I5" s="15"/>
    </row>
    <row r="6" spans="1:13" x14ac:dyDescent="0.2">
      <c r="C6" s="2"/>
      <c r="D6" s="2"/>
      <c r="E6" s="2"/>
      <c r="F6" s="2"/>
      <c r="G6" s="2"/>
      <c r="H6" s="15" t="s">
        <v>30</v>
      </c>
      <c r="I6" s="15"/>
    </row>
    <row r="7" spans="1:13" x14ac:dyDescent="0.2">
      <c r="G7" s="2"/>
      <c r="H7" s="15" t="s">
        <v>3</v>
      </c>
      <c r="I7" s="15"/>
    </row>
    <row r="9" spans="1:13" ht="12.75" customHeight="1" x14ac:dyDescent="0.2">
      <c r="A9" s="17" t="s">
        <v>31</v>
      </c>
      <c r="B9" s="17"/>
      <c r="C9" s="17"/>
      <c r="D9" s="17"/>
      <c r="E9" s="17"/>
      <c r="F9" s="17"/>
      <c r="G9" s="17"/>
      <c r="H9" s="17"/>
      <c r="I9" s="17"/>
      <c r="J9" s="3"/>
    </row>
    <row r="10" spans="1:13" ht="30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3"/>
    </row>
    <row r="12" spans="1:13" x14ac:dyDescent="0.2">
      <c r="A12" s="18" t="s">
        <v>0</v>
      </c>
      <c r="B12" s="21" t="s">
        <v>1</v>
      </c>
      <c r="C12" s="22" t="s">
        <v>2</v>
      </c>
      <c r="D12" s="21" t="s">
        <v>7</v>
      </c>
      <c r="E12" s="21"/>
      <c r="F12" s="21"/>
      <c r="G12" s="21"/>
      <c r="H12" s="21"/>
      <c r="I12" s="21"/>
    </row>
    <row r="13" spans="1:13" x14ac:dyDescent="0.2">
      <c r="A13" s="19"/>
      <c r="B13" s="21"/>
      <c r="C13" s="23"/>
      <c r="D13" s="4" t="s">
        <v>32</v>
      </c>
      <c r="E13" s="4" t="s">
        <v>33</v>
      </c>
      <c r="F13" s="4" t="s">
        <v>34</v>
      </c>
      <c r="G13" s="21" t="s">
        <v>35</v>
      </c>
      <c r="H13" s="21"/>
      <c r="I13" s="21"/>
    </row>
    <row r="14" spans="1:13" ht="28.5" customHeight="1" x14ac:dyDescent="0.2">
      <c r="A14" s="20"/>
      <c r="B14" s="21"/>
      <c r="C14" s="24"/>
      <c r="D14" s="4"/>
      <c r="E14" s="4"/>
      <c r="F14" s="4"/>
      <c r="G14" s="4" t="s">
        <v>36</v>
      </c>
      <c r="H14" s="4" t="s">
        <v>37</v>
      </c>
      <c r="I14" s="4" t="s">
        <v>38</v>
      </c>
    </row>
    <row r="15" spans="1:13" ht="15.75" customHeight="1" x14ac:dyDescent="0.2">
      <c r="A15" s="5">
        <v>1</v>
      </c>
      <c r="B15" s="6" t="s">
        <v>25</v>
      </c>
      <c r="C15" s="5" t="s">
        <v>40</v>
      </c>
      <c r="D15" s="5"/>
      <c r="E15" s="5"/>
      <c r="F15" s="5"/>
      <c r="G15" s="7">
        <v>27212</v>
      </c>
      <c r="H15" s="7">
        <v>14510</v>
      </c>
      <c r="I15" s="7">
        <v>42777</v>
      </c>
      <c r="J15" s="8"/>
      <c r="K15" s="9"/>
      <c r="L15" s="9"/>
      <c r="M15" s="9"/>
    </row>
    <row r="16" spans="1:13" ht="15.75" customHeight="1" x14ac:dyDescent="0.2">
      <c r="A16" s="5">
        <v>2</v>
      </c>
      <c r="B16" s="6" t="s">
        <v>47</v>
      </c>
      <c r="C16" s="5" t="s">
        <v>40</v>
      </c>
      <c r="D16" s="5"/>
      <c r="E16" s="5"/>
      <c r="F16" s="5"/>
      <c r="G16" s="7">
        <v>25694</v>
      </c>
      <c r="H16" s="7">
        <v>1274</v>
      </c>
      <c r="I16" s="7">
        <v>8339</v>
      </c>
      <c r="J16" s="8"/>
      <c r="K16" s="9"/>
      <c r="L16" s="9"/>
      <c r="M16" s="9"/>
    </row>
    <row r="17" spans="1:13" ht="15.75" customHeight="1" x14ac:dyDescent="0.2">
      <c r="A17" s="5">
        <v>3</v>
      </c>
      <c r="B17" s="6" t="s">
        <v>58</v>
      </c>
      <c r="C17" s="5" t="s">
        <v>40</v>
      </c>
      <c r="D17" s="5"/>
      <c r="E17" s="5"/>
      <c r="F17" s="5"/>
      <c r="G17" s="7">
        <v>1749</v>
      </c>
      <c r="H17" s="7"/>
      <c r="I17" s="7">
        <v>356</v>
      </c>
      <c r="J17" s="8"/>
      <c r="K17" s="9"/>
      <c r="L17" s="9"/>
      <c r="M17" s="9"/>
    </row>
    <row r="18" spans="1:13" ht="15.75" customHeight="1" x14ac:dyDescent="0.2">
      <c r="A18" s="5">
        <v>4</v>
      </c>
      <c r="B18" s="6" t="s">
        <v>15</v>
      </c>
      <c r="C18" s="5" t="s">
        <v>40</v>
      </c>
      <c r="D18" s="5"/>
      <c r="E18" s="5"/>
      <c r="F18" s="5"/>
      <c r="G18" s="7">
        <v>57364</v>
      </c>
      <c r="H18" s="7">
        <v>2971</v>
      </c>
      <c r="I18" s="7">
        <v>5018</v>
      </c>
      <c r="J18" s="8"/>
      <c r="K18" s="9"/>
      <c r="L18" s="9"/>
      <c r="M18" s="9"/>
    </row>
    <row r="19" spans="1:13" ht="15.75" customHeight="1" x14ac:dyDescent="0.2">
      <c r="A19" s="5">
        <v>5</v>
      </c>
      <c r="B19" s="6" t="s">
        <v>46</v>
      </c>
      <c r="C19" s="5" t="s">
        <v>40</v>
      </c>
      <c r="D19" s="5"/>
      <c r="E19" s="5"/>
      <c r="F19" s="5"/>
      <c r="G19" s="7">
        <v>4542</v>
      </c>
      <c r="H19" s="7">
        <v>193</v>
      </c>
      <c r="I19" s="7">
        <v>1415</v>
      </c>
      <c r="J19" s="8"/>
      <c r="K19" s="9"/>
      <c r="L19" s="9"/>
      <c r="M19" s="9"/>
    </row>
    <row r="20" spans="1:13" ht="15.75" customHeight="1" x14ac:dyDescent="0.2">
      <c r="A20" s="5">
        <v>6</v>
      </c>
      <c r="B20" s="6" t="s">
        <v>16</v>
      </c>
      <c r="C20" s="5" t="s">
        <v>40</v>
      </c>
      <c r="D20" s="5"/>
      <c r="E20" s="5"/>
      <c r="F20" s="5"/>
      <c r="G20" s="7">
        <v>53402</v>
      </c>
      <c r="H20" s="7">
        <f>20418+12836</f>
        <v>33254</v>
      </c>
      <c r="I20" s="7">
        <v>30077</v>
      </c>
      <c r="J20" s="8"/>
      <c r="K20" s="9"/>
      <c r="L20" s="9"/>
      <c r="M20" s="9"/>
    </row>
    <row r="21" spans="1:13" ht="15.75" customHeight="1" x14ac:dyDescent="0.2">
      <c r="A21" s="5">
        <v>7</v>
      </c>
      <c r="B21" s="6" t="s">
        <v>56</v>
      </c>
      <c r="C21" s="5" t="s">
        <v>40</v>
      </c>
      <c r="D21" s="5"/>
      <c r="E21" s="5"/>
      <c r="F21" s="5"/>
      <c r="G21" s="7">
        <v>8769</v>
      </c>
      <c r="H21" s="7">
        <f>7016+1374</f>
        <v>8390</v>
      </c>
      <c r="I21" s="7">
        <v>3098</v>
      </c>
      <c r="J21" s="8"/>
      <c r="K21" s="9"/>
      <c r="L21" s="9"/>
      <c r="M21" s="9"/>
    </row>
    <row r="22" spans="1:13" ht="15.75" customHeight="1" x14ac:dyDescent="0.2">
      <c r="A22" s="5">
        <v>8</v>
      </c>
      <c r="B22" s="6" t="s">
        <v>53</v>
      </c>
      <c r="C22" s="5" t="s">
        <v>40</v>
      </c>
      <c r="D22" s="5"/>
      <c r="E22" s="5"/>
      <c r="F22" s="5"/>
      <c r="G22" s="7">
        <v>5326</v>
      </c>
      <c r="H22" s="7">
        <v>270</v>
      </c>
      <c r="I22" s="7">
        <v>4861</v>
      </c>
      <c r="J22" s="8"/>
      <c r="K22" s="9"/>
      <c r="L22" s="9"/>
      <c r="M22" s="9"/>
    </row>
    <row r="23" spans="1:13" ht="15.75" customHeight="1" x14ac:dyDescent="0.2">
      <c r="A23" s="5">
        <v>9</v>
      </c>
      <c r="B23" s="6" t="s">
        <v>57</v>
      </c>
      <c r="C23" s="5" t="s">
        <v>40</v>
      </c>
      <c r="D23" s="5"/>
      <c r="E23" s="5"/>
      <c r="F23" s="5"/>
      <c r="G23" s="7">
        <v>4939</v>
      </c>
      <c r="H23" s="7">
        <f>200+220</f>
        <v>420</v>
      </c>
      <c r="I23" s="7">
        <v>2936</v>
      </c>
      <c r="J23" s="8"/>
      <c r="K23" s="9"/>
      <c r="L23" s="9"/>
      <c r="M23" s="9"/>
    </row>
    <row r="24" spans="1:13" ht="15.75" customHeight="1" x14ac:dyDescent="0.2">
      <c r="A24" s="5">
        <v>10</v>
      </c>
      <c r="B24" s="6" t="s">
        <v>59</v>
      </c>
      <c r="C24" s="5" t="s">
        <v>40</v>
      </c>
      <c r="D24" s="5"/>
      <c r="E24" s="5"/>
      <c r="F24" s="5"/>
      <c r="G24" s="7">
        <v>2423</v>
      </c>
      <c r="H24" s="7">
        <v>879</v>
      </c>
      <c r="I24" s="7">
        <v>522</v>
      </c>
      <c r="J24" s="8"/>
      <c r="K24" s="9"/>
      <c r="L24" s="9"/>
      <c r="M24" s="9"/>
    </row>
    <row r="25" spans="1:13" ht="15.75" customHeight="1" x14ac:dyDescent="0.2">
      <c r="A25" s="5">
        <v>11</v>
      </c>
      <c r="B25" s="6" t="s">
        <v>45</v>
      </c>
      <c r="C25" s="5" t="s">
        <v>40</v>
      </c>
      <c r="D25" s="5"/>
      <c r="E25" s="5"/>
      <c r="F25" s="5"/>
      <c r="G25" s="7">
        <v>11155</v>
      </c>
      <c r="H25" s="7"/>
      <c r="I25" s="7">
        <v>3315</v>
      </c>
      <c r="J25" s="8"/>
      <c r="K25" s="9"/>
      <c r="L25" s="9"/>
      <c r="M25" s="9"/>
    </row>
    <row r="26" spans="1:13" ht="15.75" customHeight="1" x14ac:dyDescent="0.2">
      <c r="A26" s="5">
        <v>12</v>
      </c>
      <c r="B26" s="6" t="s">
        <v>14</v>
      </c>
      <c r="C26" s="5" t="s">
        <v>40</v>
      </c>
      <c r="D26" s="5"/>
      <c r="E26" s="5"/>
      <c r="F26" s="5"/>
      <c r="G26" s="7">
        <v>80051</v>
      </c>
      <c r="H26" s="7">
        <f>175+12928-2586</f>
        <v>10517</v>
      </c>
      <c r="I26" s="7">
        <f>16875+2586</f>
        <v>19461</v>
      </c>
      <c r="J26" s="8"/>
      <c r="K26" s="9"/>
      <c r="L26" s="9"/>
      <c r="M26" s="9"/>
    </row>
    <row r="27" spans="1:13" ht="15.75" customHeight="1" x14ac:dyDescent="0.2">
      <c r="A27" s="5">
        <v>13</v>
      </c>
      <c r="B27" s="6" t="s">
        <v>51</v>
      </c>
      <c r="C27" s="5" t="s">
        <v>40</v>
      </c>
      <c r="D27" s="5"/>
      <c r="E27" s="5"/>
      <c r="F27" s="5"/>
      <c r="G27" s="7">
        <v>9284</v>
      </c>
      <c r="H27" s="7">
        <v>1397</v>
      </c>
      <c r="I27" s="7">
        <v>3163</v>
      </c>
      <c r="J27" s="8"/>
      <c r="K27" s="9"/>
      <c r="L27" s="9"/>
      <c r="M27" s="9"/>
    </row>
    <row r="28" spans="1:13" ht="15.75" customHeight="1" x14ac:dyDescent="0.2">
      <c r="A28" s="5">
        <v>14</v>
      </c>
      <c r="B28" s="6" t="s">
        <v>18</v>
      </c>
      <c r="C28" s="5" t="s">
        <v>40</v>
      </c>
      <c r="D28" s="5"/>
      <c r="E28" s="5"/>
      <c r="F28" s="5"/>
      <c r="G28" s="7">
        <v>58662</v>
      </c>
      <c r="H28" s="7">
        <v>2846</v>
      </c>
      <c r="I28" s="7">
        <v>15627</v>
      </c>
      <c r="J28" s="8"/>
      <c r="K28" s="9"/>
      <c r="L28" s="9"/>
      <c r="M28" s="9"/>
    </row>
    <row r="29" spans="1:13" ht="15.75" customHeight="1" x14ac:dyDescent="0.2">
      <c r="A29" s="5">
        <v>15</v>
      </c>
      <c r="B29" s="10" t="s">
        <v>60</v>
      </c>
      <c r="C29" s="5" t="s">
        <v>40</v>
      </c>
      <c r="D29" s="5"/>
      <c r="E29" s="5"/>
      <c r="F29" s="5"/>
      <c r="G29" s="7">
        <v>5439</v>
      </c>
      <c r="H29" s="7">
        <v>96</v>
      </c>
      <c r="I29" s="7">
        <v>914</v>
      </c>
      <c r="J29" s="8"/>
      <c r="K29" s="9"/>
      <c r="L29" s="9"/>
      <c r="M29" s="9"/>
    </row>
    <row r="30" spans="1:13" ht="15.75" customHeight="1" x14ac:dyDescent="0.2">
      <c r="A30" s="5">
        <v>16</v>
      </c>
      <c r="B30" s="10" t="s">
        <v>17</v>
      </c>
      <c r="C30" s="5" t="s">
        <v>40</v>
      </c>
      <c r="D30" s="5"/>
      <c r="E30" s="5"/>
      <c r="F30" s="5"/>
      <c r="G30" s="7">
        <v>49844</v>
      </c>
      <c r="H30" s="7">
        <f>36605+1401</f>
        <v>38006</v>
      </c>
      <c r="I30" s="7">
        <v>14014</v>
      </c>
      <c r="J30" s="8"/>
      <c r="K30" s="9"/>
      <c r="L30" s="9"/>
      <c r="M30" s="9"/>
    </row>
    <row r="31" spans="1:13" ht="15.75" customHeight="1" x14ac:dyDescent="0.2">
      <c r="A31" s="5">
        <v>17</v>
      </c>
      <c r="B31" s="10" t="s">
        <v>61</v>
      </c>
      <c r="C31" s="5" t="s">
        <v>40</v>
      </c>
      <c r="D31" s="5"/>
      <c r="E31" s="5"/>
      <c r="F31" s="5"/>
      <c r="G31" s="7">
        <v>11397</v>
      </c>
      <c r="H31" s="7">
        <v>261</v>
      </c>
      <c r="I31" s="7">
        <v>1299</v>
      </c>
      <c r="J31" s="8"/>
      <c r="K31" s="9"/>
      <c r="L31" s="9"/>
      <c r="M31" s="9"/>
    </row>
    <row r="32" spans="1:13" ht="15.75" customHeight="1" x14ac:dyDescent="0.2">
      <c r="A32" s="5">
        <v>18</v>
      </c>
      <c r="B32" s="6" t="s">
        <v>41</v>
      </c>
      <c r="C32" s="5" t="s">
        <v>40</v>
      </c>
      <c r="D32" s="5"/>
      <c r="E32" s="5"/>
      <c r="F32" s="5"/>
      <c r="G32" s="7">
        <v>27018</v>
      </c>
      <c r="H32" s="7">
        <f>25152+611</f>
        <v>25763</v>
      </c>
      <c r="I32" s="7">
        <v>7332</v>
      </c>
      <c r="J32" s="8"/>
      <c r="K32" s="9"/>
      <c r="L32" s="9"/>
      <c r="M32" s="9"/>
    </row>
    <row r="33" spans="1:13" ht="15.75" customHeight="1" x14ac:dyDescent="0.2">
      <c r="A33" s="5">
        <v>19</v>
      </c>
      <c r="B33" s="6" t="s">
        <v>62</v>
      </c>
      <c r="C33" s="5" t="s">
        <v>40</v>
      </c>
      <c r="D33" s="5"/>
      <c r="E33" s="5"/>
      <c r="F33" s="5"/>
      <c r="G33" s="7">
        <v>11051</v>
      </c>
      <c r="H33" s="7">
        <v>100</v>
      </c>
      <c r="I33" s="7">
        <v>4489</v>
      </c>
      <c r="J33" s="8"/>
      <c r="K33" s="9"/>
      <c r="L33" s="9"/>
      <c r="M33" s="9"/>
    </row>
    <row r="34" spans="1:13" ht="15.75" customHeight="1" x14ac:dyDescent="0.2">
      <c r="A34" s="5">
        <v>20</v>
      </c>
      <c r="B34" s="6" t="s">
        <v>49</v>
      </c>
      <c r="C34" s="5" t="s">
        <v>40</v>
      </c>
      <c r="D34" s="5"/>
      <c r="E34" s="5"/>
      <c r="F34" s="5"/>
      <c r="G34" s="7">
        <v>794</v>
      </c>
      <c r="H34" s="7"/>
      <c r="I34" s="7">
        <v>173</v>
      </c>
      <c r="J34" s="8"/>
      <c r="K34" s="9"/>
      <c r="L34" s="9"/>
      <c r="M34" s="9"/>
    </row>
    <row r="35" spans="1:13" ht="15.75" customHeight="1" x14ac:dyDescent="0.2">
      <c r="A35" s="5">
        <v>21</v>
      </c>
      <c r="B35" s="6" t="s">
        <v>20</v>
      </c>
      <c r="C35" s="5" t="s">
        <v>40</v>
      </c>
      <c r="D35" s="5"/>
      <c r="E35" s="5"/>
      <c r="F35" s="5"/>
      <c r="G35" s="7">
        <v>67774</v>
      </c>
      <c r="H35" s="7">
        <v>5121</v>
      </c>
      <c r="I35" s="7">
        <v>13797</v>
      </c>
      <c r="J35" s="8"/>
      <c r="K35" s="9"/>
      <c r="L35" s="9"/>
      <c r="M35" s="9"/>
    </row>
    <row r="36" spans="1:13" ht="15.75" customHeight="1" x14ac:dyDescent="0.2">
      <c r="A36" s="5">
        <v>22</v>
      </c>
      <c r="B36" s="6" t="s">
        <v>22</v>
      </c>
      <c r="C36" s="5" t="s">
        <v>40</v>
      </c>
      <c r="D36" s="5"/>
      <c r="E36" s="5"/>
      <c r="F36" s="5"/>
      <c r="G36" s="7">
        <v>86263</v>
      </c>
      <c r="H36" s="7">
        <f>1518+17096</f>
        <v>18614</v>
      </c>
      <c r="I36" s="7">
        <v>35726</v>
      </c>
      <c r="J36" s="8"/>
      <c r="K36" s="9"/>
      <c r="L36" s="9"/>
      <c r="M36" s="9"/>
    </row>
    <row r="37" spans="1:13" ht="15.75" customHeight="1" x14ac:dyDescent="0.2">
      <c r="A37" s="5">
        <v>23</v>
      </c>
      <c r="B37" s="6" t="s">
        <v>55</v>
      </c>
      <c r="C37" s="5" t="s">
        <v>40</v>
      </c>
      <c r="D37" s="5"/>
      <c r="E37" s="5"/>
      <c r="F37" s="5"/>
      <c r="G37" s="7">
        <v>79751</v>
      </c>
      <c r="H37" s="7">
        <f>3143+12764</f>
        <v>15907</v>
      </c>
      <c r="I37" s="7">
        <v>81733</v>
      </c>
      <c r="J37" s="8"/>
      <c r="K37" s="9"/>
      <c r="L37" s="9"/>
      <c r="M37" s="9"/>
    </row>
    <row r="38" spans="1:13" ht="15.75" customHeight="1" x14ac:dyDescent="0.2">
      <c r="A38" s="5">
        <v>24</v>
      </c>
      <c r="B38" s="6" t="s">
        <v>19</v>
      </c>
      <c r="C38" s="5" t="s">
        <v>40</v>
      </c>
      <c r="D38" s="5"/>
      <c r="E38" s="5"/>
      <c r="F38" s="5"/>
      <c r="G38" s="7">
        <v>37928</v>
      </c>
      <c r="H38" s="7">
        <f>18174+3123</f>
        <v>21297</v>
      </c>
      <c r="I38" s="7">
        <v>17610</v>
      </c>
      <c r="J38" s="8"/>
      <c r="K38" s="9"/>
      <c r="L38" s="9"/>
      <c r="M38" s="9"/>
    </row>
    <row r="39" spans="1:13" ht="15.75" customHeight="1" x14ac:dyDescent="0.2">
      <c r="A39" s="5">
        <v>25</v>
      </c>
      <c r="B39" s="6" t="s">
        <v>24</v>
      </c>
      <c r="C39" s="5" t="s">
        <v>40</v>
      </c>
      <c r="D39" s="5"/>
      <c r="E39" s="5"/>
      <c r="F39" s="5"/>
      <c r="G39" s="7">
        <v>90100</v>
      </c>
      <c r="H39" s="7">
        <f>4064+24473</f>
        <v>28537</v>
      </c>
      <c r="I39" s="7">
        <v>31778</v>
      </c>
      <c r="J39" s="8"/>
      <c r="K39" s="9"/>
      <c r="L39" s="9"/>
      <c r="M39" s="9"/>
    </row>
    <row r="40" spans="1:13" ht="15.75" customHeight="1" x14ac:dyDescent="0.2">
      <c r="A40" s="5">
        <v>26</v>
      </c>
      <c r="B40" s="6" t="s">
        <v>48</v>
      </c>
      <c r="C40" s="5" t="s">
        <v>40</v>
      </c>
      <c r="D40" s="5"/>
      <c r="E40" s="5"/>
      <c r="F40" s="5"/>
      <c r="G40" s="7">
        <v>685</v>
      </c>
      <c r="H40" s="7"/>
      <c r="I40" s="7">
        <v>317</v>
      </c>
      <c r="J40" s="8"/>
      <c r="K40" s="9"/>
      <c r="L40" s="9"/>
      <c r="M40" s="9"/>
    </row>
    <row r="41" spans="1:13" ht="15.75" customHeight="1" x14ac:dyDescent="0.2">
      <c r="A41" s="5">
        <v>27</v>
      </c>
      <c r="B41" s="6" t="s">
        <v>42</v>
      </c>
      <c r="C41" s="5" t="s">
        <v>40</v>
      </c>
      <c r="D41" s="5"/>
      <c r="E41" s="5"/>
      <c r="F41" s="5"/>
      <c r="G41" s="7">
        <v>10751</v>
      </c>
      <c r="H41" s="7">
        <v>989</v>
      </c>
      <c r="I41" s="7">
        <v>2851</v>
      </c>
      <c r="J41" s="8"/>
      <c r="K41" s="9"/>
      <c r="L41" s="9"/>
      <c r="M41" s="9"/>
    </row>
    <row r="42" spans="1:13" ht="15.75" customHeight="1" x14ac:dyDescent="0.2">
      <c r="A42" s="5">
        <v>28</v>
      </c>
      <c r="B42" s="6" t="s">
        <v>54</v>
      </c>
      <c r="C42" s="5" t="s">
        <v>40</v>
      </c>
      <c r="D42" s="5"/>
      <c r="E42" s="5"/>
      <c r="F42" s="5"/>
      <c r="G42" s="7">
        <v>6659</v>
      </c>
      <c r="H42" s="7">
        <v>2361</v>
      </c>
      <c r="I42" s="7">
        <v>2766</v>
      </c>
      <c r="J42" s="8"/>
      <c r="K42" s="9"/>
      <c r="L42" s="9"/>
      <c r="M42" s="9"/>
    </row>
    <row r="43" spans="1:13" ht="15.75" customHeight="1" x14ac:dyDescent="0.2">
      <c r="A43" s="5">
        <v>29</v>
      </c>
      <c r="B43" s="6" t="s">
        <v>43</v>
      </c>
      <c r="C43" s="5" t="s">
        <v>40</v>
      </c>
      <c r="D43" s="5"/>
      <c r="E43" s="5"/>
      <c r="F43" s="5"/>
      <c r="G43" s="7">
        <v>4462</v>
      </c>
      <c r="H43" s="7">
        <v>7</v>
      </c>
      <c r="I43" s="7">
        <v>2181</v>
      </c>
      <c r="J43" s="8"/>
      <c r="K43" s="9"/>
      <c r="L43" s="9"/>
      <c r="M43" s="9"/>
    </row>
    <row r="44" spans="1:13" ht="15.75" customHeight="1" x14ac:dyDescent="0.2">
      <c r="A44" s="5">
        <v>30</v>
      </c>
      <c r="B44" s="6" t="s">
        <v>63</v>
      </c>
      <c r="C44" s="5" t="s">
        <v>40</v>
      </c>
      <c r="D44" s="5"/>
      <c r="E44" s="5"/>
      <c r="F44" s="5"/>
      <c r="G44" s="7">
        <v>30302</v>
      </c>
      <c r="H44" s="7">
        <f>1238+3720</f>
        <v>4958</v>
      </c>
      <c r="I44" s="7">
        <v>15851</v>
      </c>
      <c r="J44" s="8"/>
      <c r="K44" s="9"/>
      <c r="L44" s="9"/>
      <c r="M44" s="9"/>
    </row>
    <row r="45" spans="1:13" ht="15.75" customHeight="1" x14ac:dyDescent="0.2">
      <c r="A45" s="5">
        <v>31</v>
      </c>
      <c r="B45" s="6" t="s">
        <v>64</v>
      </c>
      <c r="C45" s="5" t="s">
        <v>40</v>
      </c>
      <c r="D45" s="5"/>
      <c r="E45" s="5"/>
      <c r="F45" s="5"/>
      <c r="G45" s="7">
        <v>1023</v>
      </c>
      <c r="H45" s="7"/>
      <c r="I45" s="7">
        <v>436</v>
      </c>
      <c r="J45" s="8"/>
      <c r="K45" s="9"/>
      <c r="L45" s="9"/>
      <c r="M45" s="9"/>
    </row>
    <row r="46" spans="1:13" ht="15.75" customHeight="1" x14ac:dyDescent="0.2">
      <c r="A46" s="5">
        <v>32</v>
      </c>
      <c r="B46" s="10" t="s">
        <v>65</v>
      </c>
      <c r="C46" s="5" t="s">
        <v>40</v>
      </c>
      <c r="D46" s="5"/>
      <c r="E46" s="5"/>
      <c r="F46" s="5"/>
      <c r="G46" s="7">
        <v>58204</v>
      </c>
      <c r="H46" s="7">
        <f>1500+4561</f>
        <v>6061</v>
      </c>
      <c r="I46" s="7">
        <v>12929</v>
      </c>
      <c r="J46" s="8"/>
      <c r="K46" s="9"/>
      <c r="L46" s="9"/>
      <c r="M46" s="9"/>
    </row>
    <row r="47" spans="1:13" ht="15.75" customHeight="1" x14ac:dyDescent="0.2">
      <c r="A47" s="5">
        <v>33</v>
      </c>
      <c r="B47" s="10" t="s">
        <v>52</v>
      </c>
      <c r="C47" s="5" t="s">
        <v>40</v>
      </c>
      <c r="D47" s="5"/>
      <c r="E47" s="5"/>
      <c r="F47" s="5"/>
      <c r="G47" s="7">
        <v>15554</v>
      </c>
      <c r="H47" s="7">
        <v>1433</v>
      </c>
      <c r="I47" s="7">
        <v>10736</v>
      </c>
      <c r="J47" s="8"/>
      <c r="K47" s="9"/>
      <c r="L47" s="9"/>
      <c r="M47" s="9"/>
    </row>
    <row r="48" spans="1:13" ht="15.75" customHeight="1" x14ac:dyDescent="0.2">
      <c r="A48" s="5">
        <v>34</v>
      </c>
      <c r="B48" s="10" t="s">
        <v>21</v>
      </c>
      <c r="C48" s="5" t="s">
        <v>40</v>
      </c>
      <c r="D48" s="5"/>
      <c r="E48" s="5"/>
      <c r="F48" s="5"/>
      <c r="G48" s="7">
        <v>62383</v>
      </c>
      <c r="H48" s="7">
        <f>4294+5558</f>
        <v>9852</v>
      </c>
      <c r="I48" s="7">
        <v>19332</v>
      </c>
      <c r="J48" s="8"/>
      <c r="K48" s="9"/>
      <c r="L48" s="9"/>
      <c r="M48" s="9"/>
    </row>
    <row r="49" spans="1:13" ht="15.75" customHeight="1" x14ac:dyDescent="0.2">
      <c r="A49" s="5">
        <v>35</v>
      </c>
      <c r="B49" s="10" t="s">
        <v>50</v>
      </c>
      <c r="C49" s="5" t="s">
        <v>40</v>
      </c>
      <c r="D49" s="5"/>
      <c r="E49" s="5"/>
      <c r="F49" s="5"/>
      <c r="G49" s="7">
        <v>6152</v>
      </c>
      <c r="H49" s="7">
        <v>448</v>
      </c>
      <c r="I49" s="7">
        <v>1904</v>
      </c>
      <c r="J49" s="8"/>
      <c r="K49" s="9"/>
      <c r="L49" s="9"/>
      <c r="M49" s="9"/>
    </row>
    <row r="50" spans="1:13" ht="15.75" customHeight="1" x14ac:dyDescent="0.2">
      <c r="A50" s="5">
        <v>36</v>
      </c>
      <c r="B50" s="10" t="s">
        <v>23</v>
      </c>
      <c r="C50" s="5" t="s">
        <v>40</v>
      </c>
      <c r="D50" s="5"/>
      <c r="E50" s="5"/>
      <c r="F50" s="5"/>
      <c r="G50" s="7">
        <v>23755</v>
      </c>
      <c r="H50" s="7">
        <v>1094</v>
      </c>
      <c r="I50" s="7">
        <v>14179</v>
      </c>
      <c r="J50" s="8"/>
      <c r="K50" s="9"/>
      <c r="L50" s="9"/>
      <c r="M50" s="9"/>
    </row>
    <row r="51" spans="1:13" ht="15.75" customHeight="1" x14ac:dyDescent="0.2">
      <c r="A51" s="5">
        <v>37</v>
      </c>
      <c r="B51" s="10" t="s">
        <v>44</v>
      </c>
      <c r="C51" s="5" t="s">
        <v>40</v>
      </c>
      <c r="D51" s="5"/>
      <c r="E51" s="5"/>
      <c r="F51" s="5"/>
      <c r="G51" s="7">
        <v>5978</v>
      </c>
      <c r="H51" s="7"/>
      <c r="I51" s="7">
        <v>1787</v>
      </c>
      <c r="J51" s="8"/>
      <c r="K51" s="9"/>
      <c r="L51" s="9"/>
      <c r="M51" s="9"/>
    </row>
    <row r="52" spans="1:13" ht="13.5" customHeight="1" x14ac:dyDescent="0.2">
      <c r="A52" s="16" t="s">
        <v>4</v>
      </c>
      <c r="B52" s="16"/>
      <c r="C52" s="11" t="s">
        <v>40</v>
      </c>
      <c r="D52" s="12" t="s">
        <v>66</v>
      </c>
      <c r="E52" s="12" t="s">
        <v>66</v>
      </c>
      <c r="F52" s="12" t="s">
        <v>66</v>
      </c>
      <c r="G52" s="12">
        <f>SUM(G15:G51)</f>
        <v>1043839</v>
      </c>
      <c r="H52" s="12">
        <f t="shared" ref="H52:I52" si="0">SUM(H15:H51)</f>
        <v>257826</v>
      </c>
      <c r="I52" s="12">
        <f t="shared" si="0"/>
        <v>435099</v>
      </c>
    </row>
    <row r="53" spans="1:13" x14ac:dyDescent="0.2">
      <c r="G53" s="13"/>
      <c r="H53" s="13"/>
      <c r="I53" s="13"/>
      <c r="J53" s="8"/>
    </row>
    <row r="54" spans="1:13" x14ac:dyDescent="0.2">
      <c r="G54" s="13"/>
      <c r="H54" s="13"/>
      <c r="I54" s="13"/>
    </row>
    <row r="58" spans="1:13" x14ac:dyDescent="0.2">
      <c r="C58" s="14"/>
      <c r="D58" s="14"/>
      <c r="E58" s="14"/>
      <c r="F58" s="14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30" workbookViewId="0">
      <selection activeCell="I54" sqref="I54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5" t="s">
        <v>39</v>
      </c>
      <c r="I1" s="15"/>
    </row>
    <row r="2" spans="1:13" x14ac:dyDescent="0.2">
      <c r="H2" s="15" t="s">
        <v>26</v>
      </c>
      <c r="I2" s="15"/>
    </row>
    <row r="3" spans="1:13" x14ac:dyDescent="0.2">
      <c r="H3" s="15" t="s">
        <v>27</v>
      </c>
      <c r="I3" s="15"/>
    </row>
    <row r="4" spans="1:13" x14ac:dyDescent="0.2">
      <c r="H4" s="15" t="s">
        <v>28</v>
      </c>
      <c r="I4" s="15"/>
    </row>
    <row r="5" spans="1:13" x14ac:dyDescent="0.2">
      <c r="H5" s="15" t="s">
        <v>29</v>
      </c>
      <c r="I5" s="15"/>
    </row>
    <row r="6" spans="1:13" x14ac:dyDescent="0.2">
      <c r="C6" s="2"/>
      <c r="D6" s="2"/>
      <c r="E6" s="2"/>
      <c r="F6" s="2"/>
      <c r="G6" s="2"/>
      <c r="H6" s="15" t="s">
        <v>30</v>
      </c>
      <c r="I6" s="15"/>
    </row>
    <row r="7" spans="1:13" x14ac:dyDescent="0.2">
      <c r="G7" s="2"/>
      <c r="H7" s="15" t="s">
        <v>3</v>
      </c>
      <c r="I7" s="15"/>
    </row>
    <row r="9" spans="1:13" ht="12.75" customHeight="1" x14ac:dyDescent="0.2">
      <c r="A9" s="17" t="s">
        <v>31</v>
      </c>
      <c r="B9" s="17"/>
      <c r="C9" s="17"/>
      <c r="D9" s="17"/>
      <c r="E9" s="17"/>
      <c r="F9" s="17"/>
      <c r="G9" s="17"/>
      <c r="H9" s="17"/>
      <c r="I9" s="17"/>
      <c r="J9" s="3"/>
    </row>
    <row r="10" spans="1:13" ht="30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3"/>
    </row>
    <row r="12" spans="1:13" x14ac:dyDescent="0.2">
      <c r="A12" s="18" t="s">
        <v>0</v>
      </c>
      <c r="B12" s="21" t="s">
        <v>1</v>
      </c>
      <c r="C12" s="22" t="s">
        <v>2</v>
      </c>
      <c r="D12" s="21" t="s">
        <v>6</v>
      </c>
      <c r="E12" s="21"/>
      <c r="F12" s="21"/>
      <c r="G12" s="21"/>
      <c r="H12" s="21"/>
      <c r="I12" s="21"/>
    </row>
    <row r="13" spans="1:13" x14ac:dyDescent="0.2">
      <c r="A13" s="19"/>
      <c r="B13" s="21"/>
      <c r="C13" s="23"/>
      <c r="D13" s="4" t="s">
        <v>32</v>
      </c>
      <c r="E13" s="4" t="s">
        <v>33</v>
      </c>
      <c r="F13" s="4" t="s">
        <v>34</v>
      </c>
      <c r="G13" s="21" t="s">
        <v>35</v>
      </c>
      <c r="H13" s="21"/>
      <c r="I13" s="21"/>
    </row>
    <row r="14" spans="1:13" ht="28.5" customHeight="1" x14ac:dyDescent="0.2">
      <c r="A14" s="20"/>
      <c r="B14" s="21"/>
      <c r="C14" s="24"/>
      <c r="D14" s="4"/>
      <c r="E14" s="4"/>
      <c r="F14" s="4"/>
      <c r="G14" s="4" t="s">
        <v>36</v>
      </c>
      <c r="H14" s="4" t="s">
        <v>37</v>
      </c>
      <c r="I14" s="4" t="s">
        <v>38</v>
      </c>
    </row>
    <row r="15" spans="1:13" ht="15.75" customHeight="1" x14ac:dyDescent="0.2">
      <c r="A15" s="5">
        <v>1</v>
      </c>
      <c r="B15" s="6" t="s">
        <v>25</v>
      </c>
      <c r="C15" s="5" t="s">
        <v>40</v>
      </c>
      <c r="D15" s="5"/>
      <c r="E15" s="5"/>
      <c r="F15" s="5"/>
      <c r="G15" s="7">
        <v>25329</v>
      </c>
      <c r="H15" s="7">
        <v>13004</v>
      </c>
      <c r="I15" s="7">
        <v>37802</v>
      </c>
      <c r="J15" s="8"/>
      <c r="K15" s="9"/>
      <c r="L15" s="9"/>
      <c r="M15" s="9"/>
    </row>
    <row r="16" spans="1:13" ht="15.75" customHeight="1" x14ac:dyDescent="0.2">
      <c r="A16" s="5">
        <v>2</v>
      </c>
      <c r="B16" s="6" t="s">
        <v>47</v>
      </c>
      <c r="C16" s="5" t="s">
        <v>40</v>
      </c>
      <c r="D16" s="5"/>
      <c r="E16" s="5"/>
      <c r="F16" s="5"/>
      <c r="G16" s="7">
        <v>16833</v>
      </c>
      <c r="H16" s="7">
        <v>1085</v>
      </c>
      <c r="I16" s="7">
        <v>3843</v>
      </c>
      <c r="J16" s="8"/>
      <c r="K16" s="9"/>
      <c r="L16" s="9"/>
      <c r="M16" s="9"/>
    </row>
    <row r="17" spans="1:13" ht="15.75" customHeight="1" x14ac:dyDescent="0.2">
      <c r="A17" s="5">
        <v>3</v>
      </c>
      <c r="B17" s="6" t="s">
        <v>58</v>
      </c>
      <c r="C17" s="5" t="s">
        <v>40</v>
      </c>
      <c r="D17" s="5"/>
      <c r="E17" s="5"/>
      <c r="F17" s="5"/>
      <c r="G17" s="7">
        <v>1903</v>
      </c>
      <c r="H17" s="7"/>
      <c r="I17" s="7">
        <v>320</v>
      </c>
      <c r="J17" s="8"/>
      <c r="K17" s="9"/>
      <c r="L17" s="9"/>
      <c r="M17" s="9"/>
    </row>
    <row r="18" spans="1:13" ht="15.75" customHeight="1" x14ac:dyDescent="0.2">
      <c r="A18" s="5">
        <v>4</v>
      </c>
      <c r="B18" s="6" t="s">
        <v>15</v>
      </c>
      <c r="C18" s="5" t="s">
        <v>40</v>
      </c>
      <c r="D18" s="5"/>
      <c r="E18" s="5"/>
      <c r="F18" s="5"/>
      <c r="G18" s="7">
        <v>56190</v>
      </c>
      <c r="H18" s="7">
        <v>2240</v>
      </c>
      <c r="I18" s="7">
        <v>3789</v>
      </c>
      <c r="J18" s="8"/>
      <c r="K18" s="9"/>
      <c r="L18" s="9"/>
      <c r="M18" s="9"/>
    </row>
    <row r="19" spans="1:13" ht="15.75" customHeight="1" x14ac:dyDescent="0.2">
      <c r="A19" s="5">
        <v>5</v>
      </c>
      <c r="B19" s="6" t="s">
        <v>46</v>
      </c>
      <c r="C19" s="5" t="s">
        <v>40</v>
      </c>
      <c r="D19" s="5"/>
      <c r="E19" s="5"/>
      <c r="F19" s="5"/>
      <c r="G19" s="7">
        <v>4538</v>
      </c>
      <c r="H19" s="7">
        <v>219</v>
      </c>
      <c r="I19" s="7">
        <v>1363</v>
      </c>
      <c r="J19" s="8"/>
      <c r="K19" s="9"/>
      <c r="L19" s="9"/>
      <c r="M19" s="9"/>
    </row>
    <row r="20" spans="1:13" ht="15.75" customHeight="1" x14ac:dyDescent="0.2">
      <c r="A20" s="5">
        <v>6</v>
      </c>
      <c r="B20" s="6" t="s">
        <v>16</v>
      </c>
      <c r="C20" s="5" t="s">
        <v>40</v>
      </c>
      <c r="D20" s="5"/>
      <c r="E20" s="5"/>
      <c r="F20" s="5"/>
      <c r="G20" s="7">
        <v>57260</v>
      </c>
      <c r="H20" s="7">
        <f>20158+13198</f>
        <v>33356</v>
      </c>
      <c r="I20" s="7">
        <v>26193</v>
      </c>
      <c r="J20" s="8"/>
      <c r="K20" s="9"/>
      <c r="L20" s="9"/>
      <c r="M20" s="9"/>
    </row>
    <row r="21" spans="1:13" ht="15.75" customHeight="1" x14ac:dyDescent="0.2">
      <c r="A21" s="5">
        <v>7</v>
      </c>
      <c r="B21" s="6" t="s">
        <v>56</v>
      </c>
      <c r="C21" s="5" t="s">
        <v>40</v>
      </c>
      <c r="D21" s="5"/>
      <c r="E21" s="5"/>
      <c r="F21" s="5"/>
      <c r="G21" s="7">
        <v>10039</v>
      </c>
      <c r="H21" s="7">
        <f>5906+3002</f>
        <v>8908</v>
      </c>
      <c r="I21" s="7">
        <v>2279</v>
      </c>
      <c r="J21" s="8"/>
      <c r="K21" s="9"/>
      <c r="L21" s="9"/>
      <c r="M21" s="9"/>
    </row>
    <row r="22" spans="1:13" ht="15.75" customHeight="1" x14ac:dyDescent="0.2">
      <c r="A22" s="5">
        <v>8</v>
      </c>
      <c r="B22" s="6" t="s">
        <v>53</v>
      </c>
      <c r="C22" s="5" t="s">
        <v>40</v>
      </c>
      <c r="D22" s="5"/>
      <c r="E22" s="5"/>
      <c r="F22" s="5"/>
      <c r="G22" s="7">
        <v>4525</v>
      </c>
      <c r="H22" s="7">
        <v>392</v>
      </c>
      <c r="I22" s="7">
        <v>3200</v>
      </c>
      <c r="J22" s="8"/>
      <c r="K22" s="9"/>
      <c r="L22" s="9"/>
      <c r="M22" s="9"/>
    </row>
    <row r="23" spans="1:13" ht="15.75" customHeight="1" x14ac:dyDescent="0.2">
      <c r="A23" s="5">
        <v>9</v>
      </c>
      <c r="B23" s="6" t="s">
        <v>57</v>
      </c>
      <c r="C23" s="5" t="s">
        <v>40</v>
      </c>
      <c r="D23" s="5"/>
      <c r="E23" s="5"/>
      <c r="F23" s="5"/>
      <c r="G23" s="7">
        <v>5819</v>
      </c>
      <c r="H23" s="7">
        <v>522</v>
      </c>
      <c r="I23" s="7">
        <v>2797</v>
      </c>
      <c r="J23" s="8"/>
      <c r="K23" s="9"/>
      <c r="L23" s="9"/>
      <c r="M23" s="9"/>
    </row>
    <row r="24" spans="1:13" ht="15.75" customHeight="1" x14ac:dyDescent="0.2">
      <c r="A24" s="5">
        <v>10</v>
      </c>
      <c r="B24" s="6" t="s">
        <v>59</v>
      </c>
      <c r="C24" s="5" t="s">
        <v>40</v>
      </c>
      <c r="D24" s="5"/>
      <c r="E24" s="5"/>
      <c r="F24" s="5"/>
      <c r="G24" s="7">
        <v>2351</v>
      </c>
      <c r="H24" s="7">
        <v>821</v>
      </c>
      <c r="I24" s="7">
        <v>602</v>
      </c>
      <c r="J24" s="8"/>
      <c r="K24" s="9"/>
      <c r="L24" s="9"/>
      <c r="M24" s="9"/>
    </row>
    <row r="25" spans="1:13" ht="15.75" customHeight="1" x14ac:dyDescent="0.2">
      <c r="A25" s="5">
        <v>11</v>
      </c>
      <c r="B25" s="6" t="s">
        <v>45</v>
      </c>
      <c r="C25" s="5" t="s">
        <v>40</v>
      </c>
      <c r="D25" s="5"/>
      <c r="E25" s="5"/>
      <c r="F25" s="5"/>
      <c r="G25" s="7">
        <v>10385</v>
      </c>
      <c r="H25" s="7"/>
      <c r="I25" s="7">
        <v>2221</v>
      </c>
      <c r="J25" s="8"/>
      <c r="K25" s="9"/>
      <c r="L25" s="9"/>
      <c r="M25" s="9"/>
    </row>
    <row r="26" spans="1:13" ht="15.75" customHeight="1" x14ac:dyDescent="0.2">
      <c r="A26" s="5">
        <v>12</v>
      </c>
      <c r="B26" s="6" t="s">
        <v>14</v>
      </c>
      <c r="C26" s="5" t="s">
        <v>40</v>
      </c>
      <c r="D26" s="5"/>
      <c r="E26" s="5"/>
      <c r="F26" s="5"/>
      <c r="G26" s="7">
        <v>64972</v>
      </c>
      <c r="H26" s="7">
        <f>94+8696</f>
        <v>8790</v>
      </c>
      <c r="I26" s="7">
        <v>19613</v>
      </c>
      <c r="J26" s="8"/>
      <c r="K26" s="9"/>
      <c r="L26" s="9"/>
      <c r="M26" s="9"/>
    </row>
    <row r="27" spans="1:13" ht="15.75" customHeight="1" x14ac:dyDescent="0.2">
      <c r="A27" s="5">
        <v>13</v>
      </c>
      <c r="B27" s="6" t="s">
        <v>51</v>
      </c>
      <c r="C27" s="5" t="s">
        <v>40</v>
      </c>
      <c r="D27" s="5"/>
      <c r="E27" s="5"/>
      <c r="F27" s="5"/>
      <c r="G27" s="7">
        <v>12371</v>
      </c>
      <c r="H27" s="7">
        <v>1396</v>
      </c>
      <c r="I27" s="7">
        <v>2330</v>
      </c>
      <c r="J27" s="8"/>
      <c r="K27" s="9"/>
      <c r="L27" s="9"/>
      <c r="M27" s="9"/>
    </row>
    <row r="28" spans="1:13" ht="15.75" customHeight="1" x14ac:dyDescent="0.2">
      <c r="A28" s="5">
        <v>14</v>
      </c>
      <c r="B28" s="6" t="s">
        <v>18</v>
      </c>
      <c r="C28" s="5" t="s">
        <v>40</v>
      </c>
      <c r="D28" s="5"/>
      <c r="E28" s="5"/>
      <c r="F28" s="5"/>
      <c r="G28" s="7">
        <v>58262</v>
      </c>
      <c r="H28" s="7">
        <v>2897</v>
      </c>
      <c r="I28" s="7">
        <v>11453</v>
      </c>
      <c r="J28" s="8"/>
      <c r="K28" s="9"/>
      <c r="L28" s="9"/>
      <c r="M28" s="9"/>
    </row>
    <row r="29" spans="1:13" ht="15.75" customHeight="1" x14ac:dyDescent="0.2">
      <c r="A29" s="5">
        <v>15</v>
      </c>
      <c r="B29" s="10" t="s">
        <v>60</v>
      </c>
      <c r="C29" s="5" t="s">
        <v>40</v>
      </c>
      <c r="D29" s="5"/>
      <c r="E29" s="5"/>
      <c r="F29" s="5"/>
      <c r="G29" s="7">
        <v>5065</v>
      </c>
      <c r="H29" s="7">
        <v>108</v>
      </c>
      <c r="I29" s="7">
        <v>746</v>
      </c>
      <c r="J29" s="8"/>
      <c r="K29" s="9"/>
      <c r="L29" s="9"/>
      <c r="M29" s="9"/>
    </row>
    <row r="30" spans="1:13" ht="15.75" customHeight="1" x14ac:dyDescent="0.2">
      <c r="A30" s="5">
        <v>16</v>
      </c>
      <c r="B30" s="10" t="s">
        <v>17</v>
      </c>
      <c r="C30" s="5" t="s">
        <v>40</v>
      </c>
      <c r="D30" s="5"/>
      <c r="E30" s="5"/>
      <c r="F30" s="5"/>
      <c r="G30" s="7">
        <v>53679</v>
      </c>
      <c r="H30" s="7">
        <f>40282+1365</f>
        <v>41647</v>
      </c>
      <c r="I30" s="7">
        <v>10782</v>
      </c>
      <c r="J30" s="8"/>
      <c r="K30" s="9"/>
      <c r="L30" s="9"/>
      <c r="M30" s="9"/>
    </row>
    <row r="31" spans="1:13" ht="15.75" customHeight="1" x14ac:dyDescent="0.2">
      <c r="A31" s="5">
        <v>17</v>
      </c>
      <c r="B31" s="10" t="s">
        <v>61</v>
      </c>
      <c r="C31" s="5" t="s">
        <v>40</v>
      </c>
      <c r="D31" s="5"/>
      <c r="E31" s="5"/>
      <c r="F31" s="5"/>
      <c r="G31" s="7">
        <v>11489</v>
      </c>
      <c r="H31" s="7">
        <v>286</v>
      </c>
      <c r="I31" s="7">
        <v>880</v>
      </c>
      <c r="J31" s="8"/>
      <c r="K31" s="9"/>
      <c r="L31" s="9"/>
      <c r="M31" s="9"/>
    </row>
    <row r="32" spans="1:13" ht="15.75" customHeight="1" x14ac:dyDescent="0.2">
      <c r="A32" s="5">
        <v>18</v>
      </c>
      <c r="B32" s="6" t="s">
        <v>41</v>
      </c>
      <c r="C32" s="5" t="s">
        <v>40</v>
      </c>
      <c r="D32" s="5"/>
      <c r="E32" s="5"/>
      <c r="F32" s="5"/>
      <c r="G32" s="7">
        <v>29722</v>
      </c>
      <c r="H32" s="7">
        <f>19209+557</f>
        <v>19766</v>
      </c>
      <c r="I32" s="7">
        <v>5504</v>
      </c>
      <c r="J32" s="8"/>
      <c r="K32" s="9"/>
      <c r="L32" s="9"/>
      <c r="M32" s="9"/>
    </row>
    <row r="33" spans="1:13" ht="15.75" customHeight="1" x14ac:dyDescent="0.2">
      <c r="A33" s="5">
        <v>19</v>
      </c>
      <c r="B33" s="6" t="s">
        <v>62</v>
      </c>
      <c r="C33" s="5" t="s">
        <v>40</v>
      </c>
      <c r="D33" s="5"/>
      <c r="E33" s="5"/>
      <c r="F33" s="5"/>
      <c r="G33" s="7">
        <v>12042</v>
      </c>
      <c r="H33" s="7">
        <v>93</v>
      </c>
      <c r="I33" s="7">
        <v>4271</v>
      </c>
      <c r="J33" s="8"/>
      <c r="K33" s="9"/>
      <c r="L33" s="9"/>
      <c r="M33" s="9"/>
    </row>
    <row r="34" spans="1:13" ht="15.75" customHeight="1" x14ac:dyDescent="0.2">
      <c r="A34" s="5">
        <v>20</v>
      </c>
      <c r="B34" s="6" t="s">
        <v>49</v>
      </c>
      <c r="C34" s="5" t="s">
        <v>40</v>
      </c>
      <c r="D34" s="5"/>
      <c r="E34" s="5"/>
      <c r="F34" s="5"/>
      <c r="G34" s="7">
        <v>788</v>
      </c>
      <c r="H34" s="7"/>
      <c r="I34" s="7">
        <v>69</v>
      </c>
      <c r="J34" s="8"/>
      <c r="K34" s="9"/>
      <c r="L34" s="9"/>
      <c r="M34" s="9"/>
    </row>
    <row r="35" spans="1:13" ht="15.75" customHeight="1" x14ac:dyDescent="0.2">
      <c r="A35" s="5">
        <v>21</v>
      </c>
      <c r="B35" s="6" t="s">
        <v>20</v>
      </c>
      <c r="C35" s="5" t="s">
        <v>40</v>
      </c>
      <c r="D35" s="5"/>
      <c r="E35" s="5"/>
      <c r="F35" s="5"/>
      <c r="G35" s="7">
        <v>62177</v>
      </c>
      <c r="H35" s="7">
        <v>5271</v>
      </c>
      <c r="I35" s="7">
        <v>8728</v>
      </c>
      <c r="J35" s="8"/>
      <c r="K35" s="9"/>
      <c r="L35" s="9"/>
      <c r="M35" s="9"/>
    </row>
    <row r="36" spans="1:13" ht="15.75" customHeight="1" x14ac:dyDescent="0.2">
      <c r="A36" s="5">
        <v>22</v>
      </c>
      <c r="B36" s="6" t="s">
        <v>22</v>
      </c>
      <c r="C36" s="5" t="s">
        <v>40</v>
      </c>
      <c r="D36" s="5"/>
      <c r="E36" s="5"/>
      <c r="F36" s="5"/>
      <c r="G36" s="7">
        <v>85861</v>
      </c>
      <c r="H36" s="7">
        <f>109+15935</f>
        <v>16044</v>
      </c>
      <c r="I36" s="7">
        <v>23144</v>
      </c>
      <c r="J36" s="8"/>
      <c r="K36" s="9"/>
      <c r="L36" s="9"/>
      <c r="M36" s="9"/>
    </row>
    <row r="37" spans="1:13" ht="15.75" customHeight="1" x14ac:dyDescent="0.2">
      <c r="A37" s="5">
        <v>23</v>
      </c>
      <c r="B37" s="6" t="s">
        <v>55</v>
      </c>
      <c r="C37" s="5" t="s">
        <v>40</v>
      </c>
      <c r="D37" s="5"/>
      <c r="E37" s="5"/>
      <c r="F37" s="5"/>
      <c r="G37" s="7">
        <v>78222</v>
      </c>
      <c r="H37" s="7">
        <f>178+12877</f>
        <v>13055</v>
      </c>
      <c r="I37" s="7">
        <v>74816</v>
      </c>
      <c r="J37" s="8"/>
      <c r="K37" s="9"/>
      <c r="L37" s="9"/>
      <c r="M37" s="9"/>
    </row>
    <row r="38" spans="1:13" ht="15.75" customHeight="1" x14ac:dyDescent="0.2">
      <c r="A38" s="5">
        <v>24</v>
      </c>
      <c r="B38" s="6" t="s">
        <v>19</v>
      </c>
      <c r="C38" s="5" t="s">
        <v>40</v>
      </c>
      <c r="D38" s="5"/>
      <c r="E38" s="5"/>
      <c r="F38" s="5"/>
      <c r="G38" s="7">
        <v>34707</v>
      </c>
      <c r="H38" s="7">
        <f>17109+3105</f>
        <v>20214</v>
      </c>
      <c r="I38" s="7">
        <v>11441</v>
      </c>
      <c r="J38" s="8"/>
      <c r="K38" s="9"/>
      <c r="L38" s="9"/>
      <c r="M38" s="9"/>
    </row>
    <row r="39" spans="1:13" ht="15.75" customHeight="1" x14ac:dyDescent="0.2">
      <c r="A39" s="5">
        <v>25</v>
      </c>
      <c r="B39" s="6" t="s">
        <v>24</v>
      </c>
      <c r="C39" s="5" t="s">
        <v>40</v>
      </c>
      <c r="D39" s="5"/>
      <c r="E39" s="5"/>
      <c r="F39" s="5"/>
      <c r="G39" s="7">
        <v>86858</v>
      </c>
      <c r="H39" s="7">
        <f>2539+20831</f>
        <v>23370</v>
      </c>
      <c r="I39" s="7">
        <v>22582</v>
      </c>
      <c r="J39" s="8"/>
      <c r="K39" s="9"/>
      <c r="L39" s="9"/>
      <c r="M39" s="9"/>
    </row>
    <row r="40" spans="1:13" ht="15.75" customHeight="1" x14ac:dyDescent="0.2">
      <c r="A40" s="5">
        <v>26</v>
      </c>
      <c r="B40" s="6" t="s">
        <v>48</v>
      </c>
      <c r="C40" s="5" t="s">
        <v>40</v>
      </c>
      <c r="D40" s="5"/>
      <c r="E40" s="5"/>
      <c r="F40" s="5"/>
      <c r="G40" s="7">
        <v>1731</v>
      </c>
      <c r="H40" s="7"/>
      <c r="I40" s="7">
        <v>230</v>
      </c>
      <c r="J40" s="8"/>
      <c r="K40" s="9"/>
      <c r="L40" s="9"/>
      <c r="M40" s="9"/>
    </row>
    <row r="41" spans="1:13" ht="15.75" customHeight="1" x14ac:dyDescent="0.2">
      <c r="A41" s="5">
        <v>27</v>
      </c>
      <c r="B41" s="6" t="s">
        <v>42</v>
      </c>
      <c r="C41" s="5" t="s">
        <v>40</v>
      </c>
      <c r="D41" s="5"/>
      <c r="E41" s="5"/>
      <c r="F41" s="5"/>
      <c r="G41" s="7">
        <v>14569</v>
      </c>
      <c r="H41" s="7">
        <v>1061</v>
      </c>
      <c r="I41" s="7">
        <v>2791</v>
      </c>
      <c r="J41" s="8"/>
      <c r="K41" s="9"/>
      <c r="L41" s="9"/>
      <c r="M41" s="9"/>
    </row>
    <row r="42" spans="1:13" ht="15.75" customHeight="1" x14ac:dyDescent="0.2">
      <c r="A42" s="5">
        <v>28</v>
      </c>
      <c r="B42" s="6" t="s">
        <v>54</v>
      </c>
      <c r="C42" s="5" t="s">
        <v>40</v>
      </c>
      <c r="D42" s="5"/>
      <c r="E42" s="5"/>
      <c r="F42" s="5"/>
      <c r="G42" s="7">
        <v>6306</v>
      </c>
      <c r="H42" s="7">
        <v>2622</v>
      </c>
      <c r="I42" s="7">
        <v>1415</v>
      </c>
      <c r="J42" s="8"/>
      <c r="K42" s="9"/>
      <c r="L42" s="9"/>
      <c r="M42" s="9"/>
    </row>
    <row r="43" spans="1:13" ht="15.75" customHeight="1" x14ac:dyDescent="0.2">
      <c r="A43" s="5">
        <v>29</v>
      </c>
      <c r="B43" s="6" t="s">
        <v>43</v>
      </c>
      <c r="C43" s="5" t="s">
        <v>40</v>
      </c>
      <c r="D43" s="5"/>
      <c r="E43" s="5"/>
      <c r="F43" s="5"/>
      <c r="G43" s="7">
        <v>5437</v>
      </c>
      <c r="H43" s="7">
        <v>8</v>
      </c>
      <c r="I43" s="7">
        <v>2199</v>
      </c>
      <c r="J43" s="8"/>
      <c r="K43" s="9"/>
      <c r="L43" s="9"/>
      <c r="M43" s="9"/>
    </row>
    <row r="44" spans="1:13" ht="15.75" customHeight="1" x14ac:dyDescent="0.2">
      <c r="A44" s="5">
        <v>30</v>
      </c>
      <c r="B44" s="6" t="s">
        <v>63</v>
      </c>
      <c r="C44" s="5" t="s">
        <v>40</v>
      </c>
      <c r="D44" s="5"/>
      <c r="E44" s="5"/>
      <c r="F44" s="5"/>
      <c r="G44" s="7">
        <v>30183</v>
      </c>
      <c r="H44" s="7">
        <f>1245+4053</f>
        <v>5298</v>
      </c>
      <c r="I44" s="7">
        <v>12296</v>
      </c>
      <c r="J44" s="8"/>
      <c r="K44" s="9"/>
      <c r="L44" s="9"/>
      <c r="M44" s="9"/>
    </row>
    <row r="45" spans="1:13" ht="15.75" customHeight="1" x14ac:dyDescent="0.2">
      <c r="A45" s="5">
        <v>31</v>
      </c>
      <c r="B45" s="6" t="s">
        <v>64</v>
      </c>
      <c r="C45" s="5" t="s">
        <v>40</v>
      </c>
      <c r="D45" s="5"/>
      <c r="E45" s="5"/>
      <c r="F45" s="5"/>
      <c r="G45" s="7">
        <v>1253</v>
      </c>
      <c r="H45" s="7"/>
      <c r="I45" s="7">
        <v>333</v>
      </c>
      <c r="J45" s="8"/>
      <c r="K45" s="9"/>
      <c r="L45" s="9"/>
      <c r="M45" s="9"/>
    </row>
    <row r="46" spans="1:13" ht="15.75" customHeight="1" x14ac:dyDescent="0.2">
      <c r="A46" s="5">
        <v>32</v>
      </c>
      <c r="B46" s="10" t="s">
        <v>65</v>
      </c>
      <c r="C46" s="5" t="s">
        <v>40</v>
      </c>
      <c r="D46" s="5"/>
      <c r="E46" s="5"/>
      <c r="F46" s="5"/>
      <c r="G46" s="7">
        <v>58104</v>
      </c>
      <c r="H46" s="7">
        <f>1689+4133</f>
        <v>5822</v>
      </c>
      <c r="I46" s="7">
        <v>8022</v>
      </c>
      <c r="J46" s="8"/>
      <c r="K46" s="9"/>
      <c r="L46" s="9"/>
      <c r="M46" s="9"/>
    </row>
    <row r="47" spans="1:13" ht="15.75" customHeight="1" x14ac:dyDescent="0.2">
      <c r="A47" s="5">
        <v>33</v>
      </c>
      <c r="B47" s="10" t="s">
        <v>52</v>
      </c>
      <c r="C47" s="5" t="s">
        <v>40</v>
      </c>
      <c r="D47" s="5"/>
      <c r="E47" s="5"/>
      <c r="F47" s="5"/>
      <c r="G47" s="7">
        <v>17403</v>
      </c>
      <c r="H47" s="7">
        <v>1136</v>
      </c>
      <c r="I47" s="7">
        <v>10062</v>
      </c>
      <c r="J47" s="8"/>
      <c r="K47" s="9"/>
      <c r="L47" s="9"/>
      <c r="M47" s="9"/>
    </row>
    <row r="48" spans="1:13" ht="15.75" customHeight="1" x14ac:dyDescent="0.2">
      <c r="A48" s="5">
        <v>34</v>
      </c>
      <c r="B48" s="10" t="s">
        <v>21</v>
      </c>
      <c r="C48" s="5" t="s">
        <v>40</v>
      </c>
      <c r="D48" s="5"/>
      <c r="E48" s="5"/>
      <c r="F48" s="5"/>
      <c r="G48" s="7">
        <f>60616+514+549</f>
        <v>61679</v>
      </c>
      <c r="H48" s="7">
        <f>6212+6481</f>
        <v>12693</v>
      </c>
      <c r="I48" s="7">
        <v>16528</v>
      </c>
      <c r="J48" s="8"/>
      <c r="K48" s="9"/>
      <c r="L48" s="9"/>
      <c r="M48" s="9"/>
    </row>
    <row r="49" spans="1:13" ht="15.75" customHeight="1" x14ac:dyDescent="0.2">
      <c r="A49" s="5">
        <v>35</v>
      </c>
      <c r="B49" s="10" t="s">
        <v>50</v>
      </c>
      <c r="C49" s="5" t="s">
        <v>40</v>
      </c>
      <c r="D49" s="5"/>
      <c r="E49" s="5"/>
      <c r="F49" s="5"/>
      <c r="G49" s="7">
        <v>6569</v>
      </c>
      <c r="H49" s="7">
        <v>399</v>
      </c>
      <c r="I49" s="7">
        <v>1561</v>
      </c>
      <c r="J49" s="8"/>
      <c r="K49" s="9"/>
      <c r="L49" s="9"/>
      <c r="M49" s="9"/>
    </row>
    <row r="50" spans="1:13" ht="15.75" customHeight="1" x14ac:dyDescent="0.2">
      <c r="A50" s="5">
        <v>36</v>
      </c>
      <c r="B50" s="10" t="s">
        <v>23</v>
      </c>
      <c r="C50" s="5" t="s">
        <v>40</v>
      </c>
      <c r="D50" s="5"/>
      <c r="E50" s="5"/>
      <c r="F50" s="5"/>
      <c r="G50" s="7">
        <v>25310</v>
      </c>
      <c r="H50" s="7">
        <v>1204</v>
      </c>
      <c r="I50" s="7">
        <v>10885</v>
      </c>
      <c r="J50" s="8"/>
      <c r="K50" s="9"/>
      <c r="L50" s="9"/>
      <c r="M50" s="9"/>
    </row>
    <row r="51" spans="1:13" ht="15.75" customHeight="1" x14ac:dyDescent="0.2">
      <c r="A51" s="5">
        <v>37</v>
      </c>
      <c r="B51" s="10" t="s">
        <v>44</v>
      </c>
      <c r="C51" s="5" t="s">
        <v>40</v>
      </c>
      <c r="D51" s="5"/>
      <c r="E51" s="5"/>
      <c r="F51" s="5"/>
      <c r="G51" s="7">
        <v>7688</v>
      </c>
      <c r="H51" s="7"/>
      <c r="I51" s="7">
        <v>1548</v>
      </c>
      <c r="J51" s="8"/>
      <c r="K51" s="9"/>
      <c r="L51" s="9"/>
      <c r="M51" s="9"/>
    </row>
    <row r="52" spans="1:13" ht="13.5" customHeight="1" x14ac:dyDescent="0.2">
      <c r="A52" s="16" t="s">
        <v>4</v>
      </c>
      <c r="B52" s="16"/>
      <c r="C52" s="11" t="s">
        <v>40</v>
      </c>
      <c r="D52" s="12" t="s">
        <v>66</v>
      </c>
      <c r="E52" s="12" t="s">
        <v>66</v>
      </c>
      <c r="F52" s="12" t="s">
        <v>66</v>
      </c>
      <c r="G52" s="12">
        <f>SUM(G15:G51)</f>
        <v>1027619</v>
      </c>
      <c r="H52" s="12">
        <f t="shared" ref="H52:I52" si="0">SUM(H15:H51)</f>
        <v>243727</v>
      </c>
      <c r="I52" s="12">
        <f t="shared" si="0"/>
        <v>348638</v>
      </c>
    </row>
    <row r="53" spans="1:13" x14ac:dyDescent="0.2">
      <c r="G53" s="13"/>
      <c r="H53" s="13"/>
      <c r="I53" s="13"/>
      <c r="J53" s="8"/>
    </row>
    <row r="54" spans="1:13" x14ac:dyDescent="0.2">
      <c r="G54" s="13"/>
      <c r="H54" s="13"/>
      <c r="I54" s="13"/>
    </row>
    <row r="58" spans="1:13" x14ac:dyDescent="0.2">
      <c r="C58" s="14"/>
      <c r="D58" s="14"/>
      <c r="E58" s="14"/>
      <c r="F58" s="14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activeCell="G15" sqref="G15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5" t="s">
        <v>39</v>
      </c>
      <c r="I1" s="15"/>
    </row>
    <row r="2" spans="1:13" x14ac:dyDescent="0.2">
      <c r="H2" s="15" t="s">
        <v>26</v>
      </c>
      <c r="I2" s="15"/>
    </row>
    <row r="3" spans="1:13" x14ac:dyDescent="0.2">
      <c r="H3" s="15" t="s">
        <v>27</v>
      </c>
      <c r="I3" s="15"/>
    </row>
    <row r="4" spans="1:13" x14ac:dyDescent="0.2">
      <c r="H4" s="15" t="s">
        <v>28</v>
      </c>
      <c r="I4" s="15"/>
    </row>
    <row r="5" spans="1:13" x14ac:dyDescent="0.2">
      <c r="H5" s="15" t="s">
        <v>29</v>
      </c>
      <c r="I5" s="15"/>
    </row>
    <row r="6" spans="1:13" x14ac:dyDescent="0.2">
      <c r="C6" s="2"/>
      <c r="D6" s="2"/>
      <c r="E6" s="2"/>
      <c r="F6" s="2"/>
      <c r="G6" s="2"/>
      <c r="H6" s="15" t="s">
        <v>30</v>
      </c>
      <c r="I6" s="15"/>
    </row>
    <row r="7" spans="1:13" x14ac:dyDescent="0.2">
      <c r="G7" s="2"/>
      <c r="H7" s="15" t="s">
        <v>3</v>
      </c>
      <c r="I7" s="15"/>
    </row>
    <row r="9" spans="1:13" ht="12.75" customHeight="1" x14ac:dyDescent="0.2">
      <c r="A9" s="17" t="s">
        <v>31</v>
      </c>
      <c r="B9" s="17"/>
      <c r="C9" s="17"/>
      <c r="D9" s="17"/>
      <c r="E9" s="17"/>
      <c r="F9" s="17"/>
      <c r="G9" s="17"/>
      <c r="H9" s="17"/>
      <c r="I9" s="17"/>
      <c r="J9" s="3"/>
    </row>
    <row r="10" spans="1:13" ht="30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3"/>
    </row>
    <row r="12" spans="1:13" x14ac:dyDescent="0.2">
      <c r="A12" s="18" t="s">
        <v>0</v>
      </c>
      <c r="B12" s="21" t="s">
        <v>1</v>
      </c>
      <c r="C12" s="22" t="s">
        <v>2</v>
      </c>
      <c r="D12" s="21" t="s">
        <v>8</v>
      </c>
      <c r="E12" s="21"/>
      <c r="F12" s="21"/>
      <c r="G12" s="21"/>
      <c r="H12" s="21"/>
      <c r="I12" s="21"/>
    </row>
    <row r="13" spans="1:13" x14ac:dyDescent="0.2">
      <c r="A13" s="19"/>
      <c r="B13" s="21"/>
      <c r="C13" s="23"/>
      <c r="D13" s="4" t="s">
        <v>32</v>
      </c>
      <c r="E13" s="4" t="s">
        <v>33</v>
      </c>
      <c r="F13" s="4" t="s">
        <v>34</v>
      </c>
      <c r="G13" s="21" t="s">
        <v>35</v>
      </c>
      <c r="H13" s="21"/>
      <c r="I13" s="21"/>
    </row>
    <row r="14" spans="1:13" ht="28.5" customHeight="1" x14ac:dyDescent="0.2">
      <c r="A14" s="20"/>
      <c r="B14" s="21"/>
      <c r="C14" s="24"/>
      <c r="D14" s="4"/>
      <c r="E14" s="4"/>
      <c r="F14" s="4"/>
      <c r="G14" s="4" t="s">
        <v>36</v>
      </c>
      <c r="H14" s="4" t="s">
        <v>37</v>
      </c>
      <c r="I14" s="4" t="s">
        <v>38</v>
      </c>
    </row>
    <row r="15" spans="1:13" ht="15.75" customHeight="1" x14ac:dyDescent="0.2">
      <c r="A15" s="5">
        <v>1</v>
      </c>
      <c r="B15" s="6" t="s">
        <v>25</v>
      </c>
      <c r="C15" s="5" t="s">
        <v>40</v>
      </c>
      <c r="D15" s="5"/>
      <c r="E15" s="5"/>
      <c r="F15" s="5"/>
      <c r="G15" s="7">
        <v>26665</v>
      </c>
      <c r="H15" s="7">
        <v>14977</v>
      </c>
      <c r="I15" s="7">
        <v>33784</v>
      </c>
      <c r="J15" s="8"/>
      <c r="K15" s="9"/>
      <c r="L15" s="9"/>
      <c r="M15" s="9"/>
    </row>
    <row r="16" spans="1:13" ht="15.75" customHeight="1" x14ac:dyDescent="0.2">
      <c r="A16" s="5">
        <v>2</v>
      </c>
      <c r="B16" s="6" t="s">
        <v>47</v>
      </c>
      <c r="C16" s="5" t="s">
        <v>40</v>
      </c>
      <c r="D16" s="5"/>
      <c r="E16" s="5"/>
      <c r="F16" s="5"/>
      <c r="G16" s="7">
        <v>13603</v>
      </c>
      <c r="H16" s="7">
        <v>1442</v>
      </c>
      <c r="I16" s="7">
        <v>4115</v>
      </c>
      <c r="J16" s="8"/>
      <c r="K16" s="9"/>
      <c r="L16" s="9"/>
      <c r="M16" s="9"/>
    </row>
    <row r="17" spans="1:13" ht="15.75" customHeight="1" x14ac:dyDescent="0.2">
      <c r="A17" s="5">
        <v>3</v>
      </c>
      <c r="B17" s="6" t="s">
        <v>58</v>
      </c>
      <c r="C17" s="5" t="s">
        <v>40</v>
      </c>
      <c r="D17" s="5"/>
      <c r="E17" s="5"/>
      <c r="F17" s="5"/>
      <c r="G17" s="7">
        <v>1972</v>
      </c>
      <c r="H17" s="7"/>
      <c r="I17" s="7">
        <v>189</v>
      </c>
      <c r="J17" s="8"/>
      <c r="K17" s="9"/>
      <c r="L17" s="9"/>
      <c r="M17" s="9"/>
    </row>
    <row r="18" spans="1:13" ht="15.75" customHeight="1" x14ac:dyDescent="0.2">
      <c r="A18" s="5">
        <v>4</v>
      </c>
      <c r="B18" s="6" t="s">
        <v>15</v>
      </c>
      <c r="C18" s="5" t="s">
        <v>40</v>
      </c>
      <c r="D18" s="5"/>
      <c r="E18" s="5"/>
      <c r="F18" s="5"/>
      <c r="G18" s="7">
        <v>49375</v>
      </c>
      <c r="H18" s="7">
        <v>2401</v>
      </c>
      <c r="I18" s="7">
        <v>2163</v>
      </c>
      <c r="J18" s="8"/>
      <c r="K18" s="9"/>
      <c r="L18" s="9"/>
      <c r="M18" s="9"/>
    </row>
    <row r="19" spans="1:13" ht="15.75" customHeight="1" x14ac:dyDescent="0.2">
      <c r="A19" s="5">
        <v>5</v>
      </c>
      <c r="B19" s="6" t="s">
        <v>46</v>
      </c>
      <c r="C19" s="5" t="s">
        <v>40</v>
      </c>
      <c r="D19" s="5"/>
      <c r="E19" s="5"/>
      <c r="F19" s="5"/>
      <c r="G19" s="7">
        <v>5283</v>
      </c>
      <c r="H19" s="7">
        <v>239</v>
      </c>
      <c r="I19" s="7">
        <v>583</v>
      </c>
      <c r="J19" s="8"/>
      <c r="K19" s="9"/>
      <c r="L19" s="9"/>
      <c r="M19" s="9"/>
    </row>
    <row r="20" spans="1:13" ht="15.75" customHeight="1" x14ac:dyDescent="0.2">
      <c r="A20" s="5">
        <v>6</v>
      </c>
      <c r="B20" s="6" t="s">
        <v>16</v>
      </c>
      <c r="C20" s="5" t="s">
        <v>40</v>
      </c>
      <c r="D20" s="5"/>
      <c r="E20" s="5"/>
      <c r="F20" s="5"/>
      <c r="G20" s="7">
        <v>54284</v>
      </c>
      <c r="H20" s="7">
        <f>19277+10542</f>
        <v>29819</v>
      </c>
      <c r="I20" s="7">
        <v>17950</v>
      </c>
      <c r="J20" s="8"/>
      <c r="K20" s="9"/>
      <c r="L20" s="9"/>
      <c r="M20" s="9"/>
    </row>
    <row r="21" spans="1:13" ht="15.75" customHeight="1" x14ac:dyDescent="0.2">
      <c r="A21" s="5">
        <v>7</v>
      </c>
      <c r="B21" s="6" t="s">
        <v>56</v>
      </c>
      <c r="C21" s="5" t="s">
        <v>40</v>
      </c>
      <c r="D21" s="5"/>
      <c r="E21" s="5"/>
      <c r="F21" s="5"/>
      <c r="G21" s="7">
        <v>8401</v>
      </c>
      <c r="H21" s="7">
        <f>4814+2161</f>
        <v>6975</v>
      </c>
      <c r="I21" s="7">
        <v>1258</v>
      </c>
      <c r="J21" s="8"/>
      <c r="K21" s="9"/>
      <c r="L21" s="9"/>
      <c r="M21" s="9"/>
    </row>
    <row r="22" spans="1:13" ht="15.75" customHeight="1" x14ac:dyDescent="0.2">
      <c r="A22" s="5">
        <v>8</v>
      </c>
      <c r="B22" s="6" t="s">
        <v>53</v>
      </c>
      <c r="C22" s="5" t="s">
        <v>40</v>
      </c>
      <c r="D22" s="5"/>
      <c r="E22" s="5"/>
      <c r="F22" s="5"/>
      <c r="G22" s="7">
        <v>5569</v>
      </c>
      <c r="H22" s="7">
        <v>427</v>
      </c>
      <c r="I22" s="7">
        <v>1403</v>
      </c>
      <c r="J22" s="8"/>
      <c r="K22" s="9"/>
      <c r="L22" s="9"/>
      <c r="M22" s="9"/>
    </row>
    <row r="23" spans="1:13" ht="15.75" customHeight="1" x14ac:dyDescent="0.2">
      <c r="A23" s="5">
        <v>9</v>
      </c>
      <c r="B23" s="6" t="s">
        <v>57</v>
      </c>
      <c r="C23" s="5" t="s">
        <v>40</v>
      </c>
      <c r="D23" s="5"/>
      <c r="E23" s="5"/>
      <c r="F23" s="5"/>
      <c r="G23" s="7">
        <v>5014</v>
      </c>
      <c r="H23" s="7">
        <v>485</v>
      </c>
      <c r="I23" s="7">
        <v>1544</v>
      </c>
      <c r="J23" s="8"/>
      <c r="K23" s="9"/>
      <c r="L23" s="9"/>
      <c r="M23" s="9"/>
    </row>
    <row r="24" spans="1:13" ht="15.75" customHeight="1" x14ac:dyDescent="0.2">
      <c r="A24" s="5">
        <v>10</v>
      </c>
      <c r="B24" s="6" t="s">
        <v>59</v>
      </c>
      <c r="C24" s="5" t="s">
        <v>40</v>
      </c>
      <c r="D24" s="5"/>
      <c r="E24" s="5"/>
      <c r="F24" s="5"/>
      <c r="G24" s="7">
        <v>2347</v>
      </c>
      <c r="H24" s="7">
        <v>603</v>
      </c>
      <c r="I24" s="7">
        <v>718</v>
      </c>
      <c r="J24" s="8"/>
      <c r="K24" s="9"/>
      <c r="L24" s="9"/>
      <c r="M24" s="9"/>
    </row>
    <row r="25" spans="1:13" ht="15.75" customHeight="1" x14ac:dyDescent="0.2">
      <c r="A25" s="5">
        <v>11</v>
      </c>
      <c r="B25" s="6" t="s">
        <v>45</v>
      </c>
      <c r="C25" s="5" t="s">
        <v>40</v>
      </c>
      <c r="D25" s="5"/>
      <c r="E25" s="5"/>
      <c r="F25" s="5"/>
      <c r="G25" s="7">
        <v>8230</v>
      </c>
      <c r="H25" s="7"/>
      <c r="I25" s="7">
        <v>1380</v>
      </c>
      <c r="J25" s="8"/>
      <c r="K25" s="9"/>
      <c r="L25" s="9"/>
      <c r="M25" s="9"/>
    </row>
    <row r="26" spans="1:13" ht="15.75" customHeight="1" x14ac:dyDescent="0.2">
      <c r="A26" s="5">
        <v>12</v>
      </c>
      <c r="B26" s="6" t="s">
        <v>14</v>
      </c>
      <c r="C26" s="5" t="s">
        <v>40</v>
      </c>
      <c r="D26" s="5"/>
      <c r="E26" s="5"/>
      <c r="F26" s="5"/>
      <c r="G26" s="7">
        <v>55142</v>
      </c>
      <c r="H26" s="7">
        <f>76+8136</f>
        <v>8212</v>
      </c>
      <c r="I26" s="7">
        <v>13976</v>
      </c>
      <c r="J26" s="8"/>
      <c r="K26" s="9"/>
      <c r="L26" s="9"/>
      <c r="M26" s="9"/>
    </row>
    <row r="27" spans="1:13" ht="15.75" customHeight="1" x14ac:dyDescent="0.2">
      <c r="A27" s="5">
        <v>13</v>
      </c>
      <c r="B27" s="6" t="s">
        <v>51</v>
      </c>
      <c r="C27" s="5" t="s">
        <v>40</v>
      </c>
      <c r="D27" s="5"/>
      <c r="E27" s="5"/>
      <c r="F27" s="5"/>
      <c r="G27" s="7">
        <v>11278</v>
      </c>
      <c r="H27" s="7">
        <v>1002</v>
      </c>
      <c r="I27" s="7">
        <v>2231</v>
      </c>
      <c r="J27" s="8"/>
      <c r="K27" s="9"/>
      <c r="L27" s="9"/>
      <c r="M27" s="9"/>
    </row>
    <row r="28" spans="1:13" ht="15.75" customHeight="1" x14ac:dyDescent="0.2">
      <c r="A28" s="5">
        <v>14</v>
      </c>
      <c r="B28" s="6" t="s">
        <v>18</v>
      </c>
      <c r="C28" s="5" t="s">
        <v>40</v>
      </c>
      <c r="D28" s="5"/>
      <c r="E28" s="5"/>
      <c r="F28" s="5"/>
      <c r="G28" s="7">
        <v>58417</v>
      </c>
      <c r="H28" s="7">
        <v>2983</v>
      </c>
      <c r="I28" s="7">
        <v>7189</v>
      </c>
      <c r="J28" s="8"/>
      <c r="K28" s="9"/>
      <c r="L28" s="9"/>
      <c r="M28" s="9"/>
    </row>
    <row r="29" spans="1:13" ht="15.75" customHeight="1" x14ac:dyDescent="0.2">
      <c r="A29" s="5">
        <v>15</v>
      </c>
      <c r="B29" s="10" t="s">
        <v>60</v>
      </c>
      <c r="C29" s="5" t="s">
        <v>40</v>
      </c>
      <c r="D29" s="5"/>
      <c r="E29" s="5"/>
      <c r="F29" s="5"/>
      <c r="G29" s="7">
        <v>4931</v>
      </c>
      <c r="H29" s="7">
        <v>100</v>
      </c>
      <c r="I29" s="7">
        <v>253</v>
      </c>
      <c r="J29" s="8"/>
      <c r="K29" s="9"/>
      <c r="L29" s="9"/>
      <c r="M29" s="9"/>
    </row>
    <row r="30" spans="1:13" ht="15.75" customHeight="1" x14ac:dyDescent="0.2">
      <c r="A30" s="5">
        <v>16</v>
      </c>
      <c r="B30" s="10" t="s">
        <v>17</v>
      </c>
      <c r="C30" s="5" t="s">
        <v>40</v>
      </c>
      <c r="D30" s="5"/>
      <c r="E30" s="5"/>
      <c r="F30" s="5"/>
      <c r="G30" s="7">
        <v>52187</v>
      </c>
      <c r="H30" s="7">
        <f>36188+1403</f>
        <v>37591</v>
      </c>
      <c r="I30" s="7">
        <v>6987</v>
      </c>
      <c r="J30" s="8"/>
      <c r="K30" s="9"/>
      <c r="L30" s="9"/>
      <c r="M30" s="9"/>
    </row>
    <row r="31" spans="1:13" ht="15.75" customHeight="1" x14ac:dyDescent="0.2">
      <c r="A31" s="5">
        <v>17</v>
      </c>
      <c r="B31" s="10" t="s">
        <v>61</v>
      </c>
      <c r="C31" s="5" t="s">
        <v>40</v>
      </c>
      <c r="D31" s="5"/>
      <c r="E31" s="5"/>
      <c r="F31" s="5"/>
      <c r="G31" s="7">
        <v>8551</v>
      </c>
      <c r="H31" s="7">
        <v>268</v>
      </c>
      <c r="I31" s="7">
        <v>418</v>
      </c>
      <c r="J31" s="8"/>
      <c r="K31" s="9"/>
      <c r="L31" s="9"/>
      <c r="M31" s="9"/>
    </row>
    <row r="32" spans="1:13" ht="15.75" customHeight="1" x14ac:dyDescent="0.2">
      <c r="A32" s="5">
        <v>18</v>
      </c>
      <c r="B32" s="6" t="s">
        <v>41</v>
      </c>
      <c r="C32" s="5" t="s">
        <v>40</v>
      </c>
      <c r="D32" s="5"/>
      <c r="E32" s="5"/>
      <c r="F32" s="5"/>
      <c r="G32" s="7">
        <v>26441</v>
      </c>
      <c r="H32" s="7">
        <f>17184+597</f>
        <v>17781</v>
      </c>
      <c r="I32" s="7">
        <v>3756</v>
      </c>
      <c r="J32" s="8"/>
      <c r="K32" s="9"/>
      <c r="L32" s="9"/>
      <c r="M32" s="9"/>
    </row>
    <row r="33" spans="1:13" ht="15.75" customHeight="1" x14ac:dyDescent="0.2">
      <c r="A33" s="5">
        <v>19</v>
      </c>
      <c r="B33" s="6" t="s">
        <v>62</v>
      </c>
      <c r="C33" s="5" t="s">
        <v>40</v>
      </c>
      <c r="D33" s="5"/>
      <c r="E33" s="5"/>
      <c r="F33" s="5"/>
      <c r="G33" s="7">
        <v>11490</v>
      </c>
      <c r="H33" s="7">
        <v>110</v>
      </c>
      <c r="I33" s="7">
        <v>2076</v>
      </c>
      <c r="J33" s="8"/>
      <c r="K33" s="9"/>
      <c r="L33" s="9"/>
      <c r="M33" s="9"/>
    </row>
    <row r="34" spans="1:13" ht="15.75" customHeight="1" x14ac:dyDescent="0.2">
      <c r="A34" s="5">
        <v>20</v>
      </c>
      <c r="B34" s="6" t="s">
        <v>49</v>
      </c>
      <c r="C34" s="5" t="s">
        <v>40</v>
      </c>
      <c r="D34" s="5"/>
      <c r="E34" s="5"/>
      <c r="F34" s="5"/>
      <c r="G34" s="7">
        <v>773</v>
      </c>
      <c r="H34" s="7"/>
      <c r="I34" s="7">
        <v>13</v>
      </c>
      <c r="J34" s="8"/>
      <c r="K34" s="9"/>
      <c r="L34" s="9"/>
      <c r="M34" s="9"/>
    </row>
    <row r="35" spans="1:13" ht="15.75" customHeight="1" x14ac:dyDescent="0.2">
      <c r="A35" s="5">
        <v>21</v>
      </c>
      <c r="B35" s="6" t="s">
        <v>20</v>
      </c>
      <c r="C35" s="5" t="s">
        <v>40</v>
      </c>
      <c r="D35" s="5"/>
      <c r="E35" s="5"/>
      <c r="F35" s="5"/>
      <c r="G35" s="7">
        <v>51249</v>
      </c>
      <c r="H35" s="7">
        <v>4986</v>
      </c>
      <c r="I35" s="7">
        <v>5077</v>
      </c>
      <c r="J35" s="8"/>
      <c r="K35" s="9"/>
      <c r="L35" s="9"/>
      <c r="M35" s="9"/>
    </row>
    <row r="36" spans="1:13" ht="15.75" customHeight="1" x14ac:dyDescent="0.2">
      <c r="A36" s="5">
        <v>22</v>
      </c>
      <c r="B36" s="6" t="s">
        <v>22</v>
      </c>
      <c r="C36" s="5" t="s">
        <v>40</v>
      </c>
      <c r="D36" s="5"/>
      <c r="E36" s="5"/>
      <c r="F36" s="5"/>
      <c r="G36" s="7">
        <v>90012</v>
      </c>
      <c r="H36" s="7">
        <f>104+15010</f>
        <v>15114</v>
      </c>
      <c r="I36" s="7">
        <v>14377</v>
      </c>
      <c r="J36" s="8"/>
      <c r="K36" s="9"/>
      <c r="L36" s="9"/>
      <c r="M36" s="9"/>
    </row>
    <row r="37" spans="1:13" ht="15.75" customHeight="1" x14ac:dyDescent="0.2">
      <c r="A37" s="5">
        <v>23</v>
      </c>
      <c r="B37" s="6" t="s">
        <v>55</v>
      </c>
      <c r="C37" s="5" t="s">
        <v>40</v>
      </c>
      <c r="D37" s="5"/>
      <c r="E37" s="5"/>
      <c r="F37" s="5"/>
      <c r="G37" s="7">
        <v>75808</v>
      </c>
      <c r="H37" s="7">
        <f>151+13907</f>
        <v>14058</v>
      </c>
      <c r="I37" s="7">
        <v>54402</v>
      </c>
      <c r="J37" s="8"/>
      <c r="K37" s="9"/>
      <c r="L37" s="9"/>
      <c r="M37" s="9"/>
    </row>
    <row r="38" spans="1:13" ht="15.75" customHeight="1" x14ac:dyDescent="0.2">
      <c r="A38" s="5">
        <v>24</v>
      </c>
      <c r="B38" s="6" t="s">
        <v>19</v>
      </c>
      <c r="C38" s="5" t="s">
        <v>40</v>
      </c>
      <c r="D38" s="5"/>
      <c r="E38" s="5"/>
      <c r="F38" s="5"/>
      <c r="G38" s="7">
        <v>32819</v>
      </c>
      <c r="H38" s="7">
        <f>15448+3441</f>
        <v>18889</v>
      </c>
      <c r="I38" s="7">
        <v>8812</v>
      </c>
      <c r="J38" s="8"/>
      <c r="K38" s="9"/>
      <c r="L38" s="9"/>
      <c r="M38" s="9"/>
    </row>
    <row r="39" spans="1:13" ht="15.75" customHeight="1" x14ac:dyDescent="0.2">
      <c r="A39" s="5">
        <v>25</v>
      </c>
      <c r="B39" s="6" t="s">
        <v>24</v>
      </c>
      <c r="C39" s="5" t="s">
        <v>40</v>
      </c>
      <c r="D39" s="5"/>
      <c r="E39" s="5"/>
      <c r="F39" s="5"/>
      <c r="G39" s="7">
        <v>78708</v>
      </c>
      <c r="H39" s="7">
        <f>2711+17217</f>
        <v>19928</v>
      </c>
      <c r="I39" s="7">
        <v>11753</v>
      </c>
      <c r="J39" s="8"/>
      <c r="K39" s="9"/>
      <c r="L39" s="9"/>
      <c r="M39" s="9"/>
    </row>
    <row r="40" spans="1:13" ht="15.75" customHeight="1" x14ac:dyDescent="0.2">
      <c r="A40" s="5">
        <v>26</v>
      </c>
      <c r="B40" s="6" t="s">
        <v>48</v>
      </c>
      <c r="C40" s="5" t="s">
        <v>40</v>
      </c>
      <c r="D40" s="5"/>
      <c r="E40" s="5"/>
      <c r="F40" s="5"/>
      <c r="G40" s="7">
        <v>1327</v>
      </c>
      <c r="H40" s="7"/>
      <c r="I40" s="7">
        <v>37</v>
      </c>
      <c r="J40" s="8"/>
      <c r="K40" s="9"/>
      <c r="L40" s="9"/>
      <c r="M40" s="9"/>
    </row>
    <row r="41" spans="1:13" ht="15.75" customHeight="1" x14ac:dyDescent="0.2">
      <c r="A41" s="5">
        <v>27</v>
      </c>
      <c r="B41" s="6" t="s">
        <v>42</v>
      </c>
      <c r="C41" s="5" t="s">
        <v>40</v>
      </c>
      <c r="D41" s="5"/>
      <c r="E41" s="5"/>
      <c r="F41" s="5"/>
      <c r="G41" s="7">
        <v>11882</v>
      </c>
      <c r="H41" s="7">
        <v>588</v>
      </c>
      <c r="I41" s="7">
        <v>1813</v>
      </c>
      <c r="J41" s="8"/>
      <c r="K41" s="9"/>
      <c r="L41" s="9"/>
      <c r="M41" s="9"/>
    </row>
    <row r="42" spans="1:13" ht="15.75" customHeight="1" x14ac:dyDescent="0.2">
      <c r="A42" s="5">
        <v>28</v>
      </c>
      <c r="B42" s="6" t="s">
        <v>54</v>
      </c>
      <c r="C42" s="5" t="s">
        <v>40</v>
      </c>
      <c r="D42" s="5"/>
      <c r="E42" s="5"/>
      <c r="F42" s="5"/>
      <c r="G42" s="7">
        <v>5738</v>
      </c>
      <c r="H42" s="7">
        <v>2238</v>
      </c>
      <c r="I42" s="7">
        <v>1372</v>
      </c>
      <c r="J42" s="8"/>
      <c r="K42" s="9"/>
      <c r="L42" s="9"/>
      <c r="M42" s="9"/>
    </row>
    <row r="43" spans="1:13" ht="15.75" customHeight="1" x14ac:dyDescent="0.2">
      <c r="A43" s="5">
        <v>29</v>
      </c>
      <c r="B43" s="6" t="s">
        <v>43</v>
      </c>
      <c r="C43" s="5" t="s">
        <v>40</v>
      </c>
      <c r="D43" s="5"/>
      <c r="E43" s="5"/>
      <c r="F43" s="5"/>
      <c r="G43" s="7">
        <v>5825</v>
      </c>
      <c r="H43" s="7">
        <v>5</v>
      </c>
      <c r="I43" s="7">
        <v>1148</v>
      </c>
      <c r="J43" s="8"/>
      <c r="K43" s="9"/>
      <c r="L43" s="9"/>
      <c r="M43" s="9"/>
    </row>
    <row r="44" spans="1:13" ht="15.75" customHeight="1" x14ac:dyDescent="0.2">
      <c r="A44" s="5">
        <v>30</v>
      </c>
      <c r="B44" s="6" t="s">
        <v>63</v>
      </c>
      <c r="C44" s="5" t="s">
        <v>40</v>
      </c>
      <c r="D44" s="5"/>
      <c r="E44" s="5"/>
      <c r="F44" s="5"/>
      <c r="G44" s="7">
        <v>28679</v>
      </c>
      <c r="H44" s="7">
        <f>1191+3534</f>
        <v>4725</v>
      </c>
      <c r="I44" s="7">
        <v>13452</v>
      </c>
      <c r="J44" s="8"/>
      <c r="K44" s="9"/>
      <c r="L44" s="9"/>
      <c r="M44" s="9"/>
    </row>
    <row r="45" spans="1:13" ht="15.75" customHeight="1" x14ac:dyDescent="0.2">
      <c r="A45" s="5">
        <v>31</v>
      </c>
      <c r="B45" s="6" t="s">
        <v>64</v>
      </c>
      <c r="C45" s="5" t="s">
        <v>40</v>
      </c>
      <c r="D45" s="5"/>
      <c r="E45" s="5"/>
      <c r="F45" s="5"/>
      <c r="G45" s="7">
        <v>926</v>
      </c>
      <c r="H45" s="7"/>
      <c r="I45" s="7">
        <v>219</v>
      </c>
      <c r="J45" s="8"/>
      <c r="K45" s="9"/>
      <c r="L45" s="9"/>
      <c r="M45" s="9"/>
    </row>
    <row r="46" spans="1:13" ht="15.75" customHeight="1" x14ac:dyDescent="0.2">
      <c r="A46" s="5">
        <v>32</v>
      </c>
      <c r="B46" s="10" t="s">
        <v>65</v>
      </c>
      <c r="C46" s="5" t="s">
        <v>40</v>
      </c>
      <c r="D46" s="5"/>
      <c r="E46" s="5"/>
      <c r="F46" s="5"/>
      <c r="G46" s="7">
        <v>56164</v>
      </c>
      <c r="H46" s="7">
        <f>2890+4280</f>
        <v>7170</v>
      </c>
      <c r="I46" s="7">
        <v>6740</v>
      </c>
      <c r="J46" s="8"/>
      <c r="K46" s="9"/>
      <c r="L46" s="9"/>
      <c r="M46" s="9"/>
    </row>
    <row r="47" spans="1:13" ht="15.75" customHeight="1" x14ac:dyDescent="0.2">
      <c r="A47" s="5">
        <v>33</v>
      </c>
      <c r="B47" s="10" t="s">
        <v>52</v>
      </c>
      <c r="C47" s="5" t="s">
        <v>40</v>
      </c>
      <c r="D47" s="5"/>
      <c r="E47" s="5"/>
      <c r="F47" s="5"/>
      <c r="G47" s="7">
        <v>16502</v>
      </c>
      <c r="H47" s="7">
        <v>1135</v>
      </c>
      <c r="I47" s="7">
        <v>6156</v>
      </c>
      <c r="J47" s="8"/>
      <c r="K47" s="9"/>
      <c r="L47" s="9"/>
      <c r="M47" s="9"/>
    </row>
    <row r="48" spans="1:13" ht="15.75" customHeight="1" x14ac:dyDescent="0.2">
      <c r="A48" s="5">
        <v>34</v>
      </c>
      <c r="B48" s="10" t="s">
        <v>21</v>
      </c>
      <c r="C48" s="5" t="s">
        <v>40</v>
      </c>
      <c r="D48" s="5"/>
      <c r="E48" s="5"/>
      <c r="F48" s="5"/>
      <c r="G48" s="7">
        <f>60668+488+573</f>
        <v>61729</v>
      </c>
      <c r="H48" s="7">
        <f>6175+5186</f>
        <v>11361</v>
      </c>
      <c r="I48" s="7">
        <v>11802</v>
      </c>
      <c r="J48" s="8"/>
      <c r="K48" s="9"/>
      <c r="L48" s="9"/>
      <c r="M48" s="9"/>
    </row>
    <row r="49" spans="1:13" ht="15.75" customHeight="1" x14ac:dyDescent="0.2">
      <c r="A49" s="5">
        <v>35</v>
      </c>
      <c r="B49" s="10" t="s">
        <v>50</v>
      </c>
      <c r="C49" s="5" t="s">
        <v>40</v>
      </c>
      <c r="D49" s="5"/>
      <c r="E49" s="5"/>
      <c r="F49" s="5"/>
      <c r="G49" s="7">
        <v>6235</v>
      </c>
      <c r="H49" s="7">
        <v>438</v>
      </c>
      <c r="I49" s="7">
        <v>940</v>
      </c>
      <c r="J49" s="8"/>
      <c r="K49" s="9"/>
      <c r="L49" s="9"/>
      <c r="M49" s="9"/>
    </row>
    <row r="50" spans="1:13" ht="15.75" customHeight="1" x14ac:dyDescent="0.2">
      <c r="A50" s="5">
        <v>36</v>
      </c>
      <c r="B50" s="10" t="s">
        <v>23</v>
      </c>
      <c r="C50" s="5" t="s">
        <v>40</v>
      </c>
      <c r="D50" s="5"/>
      <c r="E50" s="5"/>
      <c r="F50" s="5"/>
      <c r="G50" s="7">
        <v>23231</v>
      </c>
      <c r="H50" s="7">
        <v>1587</v>
      </c>
      <c r="I50" s="7">
        <v>7834</v>
      </c>
      <c r="J50" s="8"/>
      <c r="K50" s="9"/>
      <c r="L50" s="9"/>
      <c r="M50" s="9"/>
    </row>
    <row r="51" spans="1:13" ht="15.75" customHeight="1" x14ac:dyDescent="0.2">
      <c r="A51" s="5">
        <v>37</v>
      </c>
      <c r="B51" s="10" t="s">
        <v>44</v>
      </c>
      <c r="C51" s="5" t="s">
        <v>40</v>
      </c>
      <c r="D51" s="5"/>
      <c r="E51" s="5"/>
      <c r="F51" s="5"/>
      <c r="G51" s="7">
        <v>8127</v>
      </c>
      <c r="H51" s="7"/>
      <c r="I51" s="7">
        <v>896</v>
      </c>
      <c r="J51" s="8"/>
      <c r="K51" s="9"/>
      <c r="L51" s="9"/>
      <c r="M51" s="9"/>
    </row>
    <row r="52" spans="1:13" ht="13.5" customHeight="1" x14ac:dyDescent="0.2">
      <c r="A52" s="16" t="s">
        <v>4</v>
      </c>
      <c r="B52" s="16"/>
      <c r="C52" s="11" t="s">
        <v>40</v>
      </c>
      <c r="D52" s="12" t="s">
        <v>66</v>
      </c>
      <c r="E52" s="12" t="s">
        <v>66</v>
      </c>
      <c r="F52" s="12" t="s">
        <v>66</v>
      </c>
      <c r="G52" s="12">
        <f>SUM(G15:G51)</f>
        <v>964914</v>
      </c>
      <c r="H52" s="12">
        <f t="shared" ref="H52:I52" si="0">SUM(H15:H51)</f>
        <v>227637</v>
      </c>
      <c r="I52" s="12">
        <f t="shared" si="0"/>
        <v>248816</v>
      </c>
    </row>
    <row r="53" spans="1:13" x14ac:dyDescent="0.2">
      <c r="G53" s="13"/>
      <c r="H53" s="13"/>
      <c r="I53" s="13"/>
      <c r="J53" s="8"/>
    </row>
    <row r="54" spans="1:13" x14ac:dyDescent="0.2">
      <c r="G54" s="13"/>
      <c r="H54" s="13"/>
      <c r="I54" s="13"/>
    </row>
    <row r="58" spans="1:13" x14ac:dyDescent="0.2">
      <c r="C58" s="14"/>
      <c r="D58" s="14"/>
      <c r="E58" s="14"/>
      <c r="F58" s="14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6" workbookViewId="0">
      <selection activeCell="H52" sqref="H52:I52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5" t="s">
        <v>39</v>
      </c>
      <c r="I1" s="15"/>
    </row>
    <row r="2" spans="1:13" x14ac:dyDescent="0.2">
      <c r="H2" s="15" t="s">
        <v>26</v>
      </c>
      <c r="I2" s="15"/>
    </row>
    <row r="3" spans="1:13" x14ac:dyDescent="0.2">
      <c r="H3" s="15" t="s">
        <v>27</v>
      </c>
      <c r="I3" s="15"/>
    </row>
    <row r="4" spans="1:13" x14ac:dyDescent="0.2">
      <c r="H4" s="15" t="s">
        <v>28</v>
      </c>
      <c r="I4" s="15"/>
    </row>
    <row r="5" spans="1:13" x14ac:dyDescent="0.2">
      <c r="H5" s="15" t="s">
        <v>29</v>
      </c>
      <c r="I5" s="15"/>
    </row>
    <row r="6" spans="1:13" x14ac:dyDescent="0.2">
      <c r="C6" s="2"/>
      <c r="D6" s="2"/>
      <c r="E6" s="2"/>
      <c r="F6" s="2"/>
      <c r="G6" s="2"/>
      <c r="H6" s="15" t="s">
        <v>30</v>
      </c>
      <c r="I6" s="15"/>
    </row>
    <row r="7" spans="1:13" x14ac:dyDescent="0.2">
      <c r="G7" s="2"/>
      <c r="H7" s="15" t="s">
        <v>3</v>
      </c>
      <c r="I7" s="15"/>
    </row>
    <row r="9" spans="1:13" ht="12.75" customHeight="1" x14ac:dyDescent="0.2">
      <c r="A9" s="17" t="s">
        <v>31</v>
      </c>
      <c r="B9" s="17"/>
      <c r="C9" s="17"/>
      <c r="D9" s="17"/>
      <c r="E9" s="17"/>
      <c r="F9" s="17"/>
      <c r="G9" s="17"/>
      <c r="H9" s="17"/>
      <c r="I9" s="17"/>
      <c r="J9" s="3"/>
    </row>
    <row r="10" spans="1:13" ht="30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3"/>
    </row>
    <row r="12" spans="1:13" x14ac:dyDescent="0.2">
      <c r="A12" s="18" t="s">
        <v>0</v>
      </c>
      <c r="B12" s="21" t="s">
        <v>1</v>
      </c>
      <c r="C12" s="22" t="s">
        <v>2</v>
      </c>
      <c r="D12" s="21" t="s">
        <v>67</v>
      </c>
      <c r="E12" s="21"/>
      <c r="F12" s="21"/>
      <c r="G12" s="21"/>
      <c r="H12" s="21"/>
      <c r="I12" s="21"/>
    </row>
    <row r="13" spans="1:13" x14ac:dyDescent="0.2">
      <c r="A13" s="19"/>
      <c r="B13" s="21"/>
      <c r="C13" s="23"/>
      <c r="D13" s="4" t="s">
        <v>32</v>
      </c>
      <c r="E13" s="4" t="s">
        <v>33</v>
      </c>
      <c r="F13" s="4" t="s">
        <v>34</v>
      </c>
      <c r="G13" s="21" t="s">
        <v>35</v>
      </c>
      <c r="H13" s="21"/>
      <c r="I13" s="21"/>
    </row>
    <row r="14" spans="1:13" ht="28.5" customHeight="1" x14ac:dyDescent="0.2">
      <c r="A14" s="20"/>
      <c r="B14" s="21"/>
      <c r="C14" s="24"/>
      <c r="D14" s="4"/>
      <c r="E14" s="4"/>
      <c r="F14" s="4"/>
      <c r="G14" s="4" t="s">
        <v>36</v>
      </c>
      <c r="H14" s="4" t="s">
        <v>37</v>
      </c>
      <c r="I14" s="4" t="s">
        <v>38</v>
      </c>
    </row>
    <row r="15" spans="1:13" ht="15.75" customHeight="1" x14ac:dyDescent="0.2">
      <c r="A15" s="5">
        <v>1</v>
      </c>
      <c r="B15" s="6" t="s">
        <v>25</v>
      </c>
      <c r="C15" s="5" t="s">
        <v>40</v>
      </c>
      <c r="D15" s="5"/>
      <c r="E15" s="5"/>
      <c r="F15" s="5"/>
      <c r="G15" s="7">
        <v>25064</v>
      </c>
      <c r="H15" s="7">
        <v>6459</v>
      </c>
      <c r="I15" s="7">
        <v>27822</v>
      </c>
      <c r="J15" s="8"/>
      <c r="K15" s="9"/>
      <c r="L15" s="9"/>
      <c r="M15" s="9"/>
    </row>
    <row r="16" spans="1:13" ht="15.75" customHeight="1" x14ac:dyDescent="0.2">
      <c r="A16" s="5">
        <v>2</v>
      </c>
      <c r="B16" s="6" t="s">
        <v>47</v>
      </c>
      <c r="C16" s="5" t="s">
        <v>40</v>
      </c>
      <c r="D16" s="5"/>
      <c r="E16" s="5"/>
      <c r="F16" s="5"/>
      <c r="G16" s="7">
        <v>13686</v>
      </c>
      <c r="H16" s="7">
        <v>1477</v>
      </c>
      <c r="I16" s="7">
        <v>2329</v>
      </c>
      <c r="J16" s="8"/>
      <c r="K16" s="9"/>
      <c r="L16" s="9"/>
      <c r="M16" s="9"/>
    </row>
    <row r="17" spans="1:13" ht="15.75" customHeight="1" x14ac:dyDescent="0.2">
      <c r="A17" s="5">
        <v>3</v>
      </c>
      <c r="B17" s="6" t="s">
        <v>58</v>
      </c>
      <c r="C17" s="5" t="s">
        <v>40</v>
      </c>
      <c r="D17" s="5"/>
      <c r="E17" s="5"/>
      <c r="F17" s="5"/>
      <c r="G17" s="7">
        <v>2150</v>
      </c>
      <c r="H17" s="7"/>
      <c r="I17" s="7">
        <v>220</v>
      </c>
      <c r="J17" s="8"/>
      <c r="K17" s="9"/>
      <c r="L17" s="9"/>
      <c r="M17" s="9"/>
    </row>
    <row r="18" spans="1:13" ht="15.75" customHeight="1" x14ac:dyDescent="0.2">
      <c r="A18" s="5">
        <v>4</v>
      </c>
      <c r="B18" s="6" t="s">
        <v>15</v>
      </c>
      <c r="C18" s="5" t="s">
        <v>40</v>
      </c>
      <c r="D18" s="5"/>
      <c r="E18" s="5"/>
      <c r="F18" s="5"/>
      <c r="G18" s="7">
        <v>45590</v>
      </c>
      <c r="H18" s="7">
        <v>2671</v>
      </c>
      <c r="I18" s="7">
        <v>2934</v>
      </c>
      <c r="J18" s="8"/>
      <c r="K18" s="9"/>
      <c r="L18" s="9"/>
      <c r="M18" s="9"/>
    </row>
    <row r="19" spans="1:13" ht="15.75" customHeight="1" x14ac:dyDescent="0.2">
      <c r="A19" s="5">
        <v>5</v>
      </c>
      <c r="B19" s="6" t="s">
        <v>46</v>
      </c>
      <c r="C19" s="5" t="s">
        <v>40</v>
      </c>
      <c r="D19" s="5"/>
      <c r="E19" s="5"/>
      <c r="F19" s="5"/>
      <c r="G19" s="7">
        <v>5464</v>
      </c>
      <c r="H19" s="7">
        <v>239</v>
      </c>
      <c r="I19" s="7">
        <v>350</v>
      </c>
      <c r="J19" s="8"/>
      <c r="K19" s="9"/>
      <c r="L19" s="9"/>
      <c r="M19" s="9"/>
    </row>
    <row r="20" spans="1:13" ht="15.75" customHeight="1" x14ac:dyDescent="0.2">
      <c r="A20" s="5">
        <v>6</v>
      </c>
      <c r="B20" s="6" t="s">
        <v>16</v>
      </c>
      <c r="C20" s="5" t="s">
        <v>40</v>
      </c>
      <c r="D20" s="5"/>
      <c r="E20" s="5"/>
      <c r="F20" s="5"/>
      <c r="G20" s="7">
        <v>57427</v>
      </c>
      <c r="H20" s="7">
        <f>12040+6077</f>
        <v>18117</v>
      </c>
      <c r="I20" s="7">
        <v>15179</v>
      </c>
      <c r="J20" s="8"/>
      <c r="K20" s="9"/>
      <c r="L20" s="9"/>
      <c r="M20" s="9"/>
    </row>
    <row r="21" spans="1:13" ht="15.75" customHeight="1" x14ac:dyDescent="0.2">
      <c r="A21" s="5">
        <v>7</v>
      </c>
      <c r="B21" s="6" t="s">
        <v>56</v>
      </c>
      <c r="C21" s="5" t="s">
        <v>40</v>
      </c>
      <c r="D21" s="5"/>
      <c r="E21" s="5"/>
      <c r="F21" s="5"/>
      <c r="G21" s="7">
        <v>9161</v>
      </c>
      <c r="H21" s="7">
        <f>6518+1217</f>
        <v>7735</v>
      </c>
      <c r="I21" s="7">
        <v>973</v>
      </c>
      <c r="J21" s="8"/>
      <c r="K21" s="9"/>
      <c r="L21" s="9"/>
      <c r="M21" s="9"/>
    </row>
    <row r="22" spans="1:13" ht="15.75" customHeight="1" x14ac:dyDescent="0.2">
      <c r="A22" s="5">
        <v>8</v>
      </c>
      <c r="B22" s="6" t="s">
        <v>53</v>
      </c>
      <c r="C22" s="5" t="s">
        <v>40</v>
      </c>
      <c r="D22" s="5"/>
      <c r="E22" s="5"/>
      <c r="F22" s="5"/>
      <c r="G22" s="7">
        <v>5931</v>
      </c>
      <c r="H22" s="7">
        <v>384</v>
      </c>
      <c r="I22" s="7">
        <v>1568</v>
      </c>
      <c r="J22" s="8"/>
      <c r="K22" s="9"/>
      <c r="L22" s="9"/>
      <c r="M22" s="9"/>
    </row>
    <row r="23" spans="1:13" ht="15.75" customHeight="1" x14ac:dyDescent="0.2">
      <c r="A23" s="5">
        <v>9</v>
      </c>
      <c r="B23" s="6" t="s">
        <v>57</v>
      </c>
      <c r="C23" s="5" t="s">
        <v>40</v>
      </c>
      <c r="D23" s="5"/>
      <c r="E23" s="5"/>
      <c r="F23" s="5"/>
      <c r="G23" s="7">
        <v>5830</v>
      </c>
      <c r="H23" s="7">
        <v>500</v>
      </c>
      <c r="I23" s="7">
        <v>376</v>
      </c>
      <c r="J23" s="8"/>
      <c r="K23" s="9"/>
      <c r="L23" s="9"/>
      <c r="M23" s="9"/>
    </row>
    <row r="24" spans="1:13" ht="15.75" customHeight="1" x14ac:dyDescent="0.2">
      <c r="A24" s="5">
        <v>10</v>
      </c>
      <c r="B24" s="6" t="s">
        <v>59</v>
      </c>
      <c r="C24" s="5" t="s">
        <v>40</v>
      </c>
      <c r="D24" s="5"/>
      <c r="E24" s="5"/>
      <c r="F24" s="5"/>
      <c r="G24" s="7">
        <v>2489</v>
      </c>
      <c r="H24" s="7">
        <v>264</v>
      </c>
      <c r="I24" s="7">
        <v>600</v>
      </c>
      <c r="J24" s="8"/>
      <c r="K24" s="9"/>
      <c r="L24" s="9"/>
      <c r="M24" s="9"/>
    </row>
    <row r="25" spans="1:13" ht="15.75" customHeight="1" x14ac:dyDescent="0.2">
      <c r="A25" s="5">
        <v>11</v>
      </c>
      <c r="B25" s="6" t="s">
        <v>45</v>
      </c>
      <c r="C25" s="5" t="s">
        <v>40</v>
      </c>
      <c r="D25" s="5"/>
      <c r="E25" s="5"/>
      <c r="F25" s="5"/>
      <c r="G25" s="7">
        <v>8300</v>
      </c>
      <c r="H25" s="7"/>
      <c r="I25" s="7">
        <v>1455</v>
      </c>
      <c r="J25" s="8"/>
      <c r="K25" s="9"/>
      <c r="L25" s="9"/>
      <c r="M25" s="9"/>
    </row>
    <row r="26" spans="1:13" ht="15.75" customHeight="1" x14ac:dyDescent="0.2">
      <c r="A26" s="5">
        <v>12</v>
      </c>
      <c r="B26" s="6" t="s">
        <v>14</v>
      </c>
      <c r="C26" s="5" t="s">
        <v>40</v>
      </c>
      <c r="D26" s="5"/>
      <c r="E26" s="5"/>
      <c r="F26" s="5"/>
      <c r="G26" s="7">
        <v>57332</v>
      </c>
      <c r="H26" s="7">
        <f>107+8913</f>
        <v>9020</v>
      </c>
      <c r="I26" s="7">
        <v>13938</v>
      </c>
      <c r="J26" s="8"/>
      <c r="K26" s="9"/>
      <c r="L26" s="9"/>
      <c r="M26" s="9"/>
    </row>
    <row r="27" spans="1:13" ht="15.75" customHeight="1" x14ac:dyDescent="0.2">
      <c r="A27" s="5">
        <v>13</v>
      </c>
      <c r="B27" s="6" t="s">
        <v>51</v>
      </c>
      <c r="C27" s="5" t="s">
        <v>40</v>
      </c>
      <c r="D27" s="5"/>
      <c r="E27" s="5"/>
      <c r="F27" s="5"/>
      <c r="G27" s="7">
        <v>14166</v>
      </c>
      <c r="H27" s="7">
        <v>505</v>
      </c>
      <c r="I27" s="7">
        <v>1251</v>
      </c>
      <c r="J27" s="8"/>
      <c r="K27" s="9"/>
      <c r="L27" s="9"/>
      <c r="M27" s="9"/>
    </row>
    <row r="28" spans="1:13" ht="15.75" customHeight="1" x14ac:dyDescent="0.2">
      <c r="A28" s="5">
        <v>14</v>
      </c>
      <c r="B28" s="6" t="s">
        <v>18</v>
      </c>
      <c r="C28" s="5" t="s">
        <v>40</v>
      </c>
      <c r="D28" s="5"/>
      <c r="E28" s="5"/>
      <c r="F28" s="5"/>
      <c r="G28" s="7">
        <v>44269</v>
      </c>
      <c r="H28" s="7">
        <v>2856</v>
      </c>
      <c r="I28" s="7">
        <v>5814</v>
      </c>
      <c r="J28" s="8"/>
      <c r="K28" s="9"/>
      <c r="L28" s="9"/>
      <c r="M28" s="9"/>
    </row>
    <row r="29" spans="1:13" ht="15.75" customHeight="1" x14ac:dyDescent="0.2">
      <c r="A29" s="5">
        <v>15</v>
      </c>
      <c r="B29" s="10" t="s">
        <v>60</v>
      </c>
      <c r="C29" s="5" t="s">
        <v>40</v>
      </c>
      <c r="D29" s="5"/>
      <c r="E29" s="5"/>
      <c r="F29" s="5"/>
      <c r="G29" s="7">
        <v>4318</v>
      </c>
      <c r="H29" s="7">
        <v>116</v>
      </c>
      <c r="I29" s="7">
        <v>282</v>
      </c>
      <c r="J29" s="8"/>
      <c r="K29" s="9"/>
      <c r="L29" s="9"/>
      <c r="M29" s="9"/>
    </row>
    <row r="30" spans="1:13" ht="15.75" customHeight="1" x14ac:dyDescent="0.2">
      <c r="A30" s="5">
        <v>16</v>
      </c>
      <c r="B30" s="10" t="s">
        <v>17</v>
      </c>
      <c r="C30" s="5" t="s">
        <v>40</v>
      </c>
      <c r="D30" s="5"/>
      <c r="E30" s="5"/>
      <c r="F30" s="5"/>
      <c r="G30" s="7">
        <v>56922</v>
      </c>
      <c r="H30" s="7">
        <f>39578+1747</f>
        <v>41325</v>
      </c>
      <c r="I30" s="7">
        <v>6824</v>
      </c>
      <c r="J30" s="8"/>
      <c r="K30" s="9"/>
      <c r="L30" s="9"/>
      <c r="M30" s="9"/>
    </row>
    <row r="31" spans="1:13" ht="15.75" customHeight="1" x14ac:dyDescent="0.2">
      <c r="A31" s="5">
        <v>17</v>
      </c>
      <c r="B31" s="10" t="s">
        <v>61</v>
      </c>
      <c r="C31" s="5" t="s">
        <v>40</v>
      </c>
      <c r="D31" s="5"/>
      <c r="E31" s="5"/>
      <c r="F31" s="5"/>
      <c r="G31" s="7">
        <v>7474</v>
      </c>
      <c r="H31" s="7">
        <v>248</v>
      </c>
      <c r="I31" s="7">
        <v>450</v>
      </c>
      <c r="J31" s="8"/>
      <c r="K31" s="9"/>
      <c r="L31" s="9"/>
      <c r="M31" s="9"/>
    </row>
    <row r="32" spans="1:13" ht="15.75" customHeight="1" x14ac:dyDescent="0.2">
      <c r="A32" s="5">
        <v>18</v>
      </c>
      <c r="B32" s="6" t="s">
        <v>41</v>
      </c>
      <c r="C32" s="5" t="s">
        <v>40</v>
      </c>
      <c r="D32" s="5"/>
      <c r="E32" s="5"/>
      <c r="F32" s="5"/>
      <c r="G32" s="7">
        <v>23454</v>
      </c>
      <c r="H32" s="7">
        <f>14675+672</f>
        <v>15347</v>
      </c>
      <c r="I32" s="7">
        <v>2113</v>
      </c>
      <c r="J32" s="8"/>
      <c r="K32" s="9"/>
      <c r="L32" s="9"/>
      <c r="M32" s="9"/>
    </row>
    <row r="33" spans="1:13" ht="15.75" customHeight="1" x14ac:dyDescent="0.2">
      <c r="A33" s="5">
        <v>19</v>
      </c>
      <c r="B33" s="6" t="s">
        <v>62</v>
      </c>
      <c r="C33" s="5" t="s">
        <v>40</v>
      </c>
      <c r="D33" s="5"/>
      <c r="E33" s="5"/>
      <c r="F33" s="5"/>
      <c r="G33" s="7">
        <v>11353</v>
      </c>
      <c r="H33" s="7">
        <v>100</v>
      </c>
      <c r="I33" s="7">
        <v>1044</v>
      </c>
      <c r="J33" s="8"/>
      <c r="K33" s="9"/>
      <c r="L33" s="9"/>
      <c r="M33" s="9"/>
    </row>
    <row r="34" spans="1:13" ht="15.75" customHeight="1" x14ac:dyDescent="0.2">
      <c r="A34" s="5">
        <v>20</v>
      </c>
      <c r="B34" s="6" t="s">
        <v>49</v>
      </c>
      <c r="C34" s="5" t="s">
        <v>40</v>
      </c>
      <c r="D34" s="5"/>
      <c r="E34" s="5"/>
      <c r="F34" s="5"/>
      <c r="G34" s="7">
        <v>792</v>
      </c>
      <c r="H34" s="7"/>
      <c r="I34" s="7">
        <v>14</v>
      </c>
      <c r="J34" s="8"/>
      <c r="K34" s="9"/>
      <c r="L34" s="9"/>
      <c r="M34" s="9"/>
    </row>
    <row r="35" spans="1:13" ht="15.75" customHeight="1" x14ac:dyDescent="0.2">
      <c r="A35" s="5">
        <v>21</v>
      </c>
      <c r="B35" s="6" t="s">
        <v>20</v>
      </c>
      <c r="C35" s="5" t="s">
        <v>40</v>
      </c>
      <c r="D35" s="5"/>
      <c r="E35" s="5"/>
      <c r="F35" s="5"/>
      <c r="G35" s="7">
        <v>50290</v>
      </c>
      <c r="H35" s="7">
        <v>4366</v>
      </c>
      <c r="I35" s="7">
        <v>7107</v>
      </c>
      <c r="J35" s="8"/>
      <c r="K35" s="9"/>
      <c r="L35" s="9"/>
      <c r="M35" s="9"/>
    </row>
    <row r="36" spans="1:13" ht="15.75" customHeight="1" x14ac:dyDescent="0.2">
      <c r="A36" s="5">
        <v>22</v>
      </c>
      <c r="B36" s="6" t="s">
        <v>22</v>
      </c>
      <c r="C36" s="5" t="s">
        <v>40</v>
      </c>
      <c r="D36" s="5"/>
      <c r="E36" s="5"/>
      <c r="F36" s="5"/>
      <c r="G36" s="7">
        <v>88061</v>
      </c>
      <c r="H36" s="7">
        <f>202+15697</f>
        <v>15899</v>
      </c>
      <c r="I36" s="7">
        <v>10323</v>
      </c>
      <c r="J36" s="8"/>
      <c r="K36" s="9"/>
      <c r="L36" s="9"/>
      <c r="M36" s="9"/>
    </row>
    <row r="37" spans="1:13" ht="15.75" customHeight="1" x14ac:dyDescent="0.2">
      <c r="A37" s="5">
        <v>23</v>
      </c>
      <c r="B37" s="6" t="s">
        <v>55</v>
      </c>
      <c r="C37" s="5" t="s">
        <v>40</v>
      </c>
      <c r="D37" s="5"/>
      <c r="E37" s="5"/>
      <c r="F37" s="5"/>
      <c r="G37" s="7">
        <v>57140</v>
      </c>
      <c r="H37" s="7">
        <f>194+14884</f>
        <v>15078</v>
      </c>
      <c r="I37" s="7">
        <v>40118</v>
      </c>
      <c r="J37" s="8"/>
      <c r="K37" s="9"/>
      <c r="L37" s="9"/>
      <c r="M37" s="9"/>
    </row>
    <row r="38" spans="1:13" ht="15.75" customHeight="1" x14ac:dyDescent="0.2">
      <c r="A38" s="5">
        <v>24</v>
      </c>
      <c r="B38" s="6" t="s">
        <v>19</v>
      </c>
      <c r="C38" s="5" t="s">
        <v>40</v>
      </c>
      <c r="D38" s="5"/>
      <c r="E38" s="5"/>
      <c r="F38" s="5"/>
      <c r="G38" s="7">
        <v>30268</v>
      </c>
      <c r="H38" s="7">
        <f>14590+3985</f>
        <v>18575</v>
      </c>
      <c r="I38" s="7">
        <v>9640</v>
      </c>
      <c r="J38" s="8"/>
      <c r="K38" s="9"/>
      <c r="L38" s="9"/>
      <c r="M38" s="9"/>
    </row>
    <row r="39" spans="1:13" ht="15.75" customHeight="1" x14ac:dyDescent="0.2">
      <c r="A39" s="5">
        <v>25</v>
      </c>
      <c r="B39" s="6" t="s">
        <v>24</v>
      </c>
      <c r="C39" s="5" t="s">
        <v>40</v>
      </c>
      <c r="D39" s="5"/>
      <c r="E39" s="5"/>
      <c r="F39" s="5"/>
      <c r="G39" s="7">
        <v>66370</v>
      </c>
      <c r="H39" s="7">
        <f>1163+9201</f>
        <v>10364</v>
      </c>
      <c r="I39" s="7">
        <v>9020</v>
      </c>
      <c r="J39" s="8"/>
      <c r="K39" s="9"/>
      <c r="L39" s="9"/>
      <c r="M39" s="9"/>
    </row>
    <row r="40" spans="1:13" ht="15.75" customHeight="1" x14ac:dyDescent="0.2">
      <c r="A40" s="5">
        <v>26</v>
      </c>
      <c r="B40" s="6" t="s">
        <v>48</v>
      </c>
      <c r="C40" s="5" t="s">
        <v>40</v>
      </c>
      <c r="D40" s="5"/>
      <c r="E40" s="5"/>
      <c r="F40" s="5"/>
      <c r="G40" s="7">
        <v>2322</v>
      </c>
      <c r="H40" s="7"/>
      <c r="I40" s="7">
        <v>33</v>
      </c>
      <c r="J40" s="8"/>
      <c r="K40" s="9"/>
      <c r="L40" s="9"/>
      <c r="M40" s="9"/>
    </row>
    <row r="41" spans="1:13" ht="15.75" customHeight="1" x14ac:dyDescent="0.2">
      <c r="A41" s="5">
        <v>27</v>
      </c>
      <c r="B41" s="6" t="s">
        <v>42</v>
      </c>
      <c r="C41" s="5" t="s">
        <v>40</v>
      </c>
      <c r="D41" s="5"/>
      <c r="E41" s="5"/>
      <c r="F41" s="5"/>
      <c r="G41" s="7">
        <v>8673</v>
      </c>
      <c r="H41" s="7">
        <v>398</v>
      </c>
      <c r="I41" s="7">
        <v>1317</v>
      </c>
      <c r="J41" s="8"/>
      <c r="K41" s="9"/>
      <c r="L41" s="9"/>
      <c r="M41" s="9"/>
    </row>
    <row r="42" spans="1:13" ht="15.75" customHeight="1" x14ac:dyDescent="0.2">
      <c r="A42" s="5">
        <v>28</v>
      </c>
      <c r="B42" s="6" t="s">
        <v>54</v>
      </c>
      <c r="C42" s="5" t="s">
        <v>40</v>
      </c>
      <c r="D42" s="5"/>
      <c r="E42" s="5"/>
      <c r="F42" s="5"/>
      <c r="G42" s="7">
        <v>5545</v>
      </c>
      <c r="H42" s="7">
        <v>1962</v>
      </c>
      <c r="I42" s="7">
        <v>2366</v>
      </c>
      <c r="J42" s="8"/>
      <c r="K42" s="9"/>
      <c r="L42" s="9"/>
      <c r="M42" s="9"/>
    </row>
    <row r="43" spans="1:13" ht="15.75" customHeight="1" x14ac:dyDescent="0.2">
      <c r="A43" s="5">
        <v>29</v>
      </c>
      <c r="B43" s="6" t="s">
        <v>43</v>
      </c>
      <c r="C43" s="5" t="s">
        <v>40</v>
      </c>
      <c r="D43" s="5"/>
      <c r="E43" s="5"/>
      <c r="F43" s="5"/>
      <c r="G43" s="7">
        <v>6495</v>
      </c>
      <c r="H43" s="7">
        <v>3</v>
      </c>
      <c r="I43" s="7">
        <v>656</v>
      </c>
      <c r="J43" s="8"/>
      <c r="K43" s="9"/>
      <c r="L43" s="9"/>
      <c r="M43" s="9"/>
    </row>
    <row r="44" spans="1:13" ht="15.75" customHeight="1" x14ac:dyDescent="0.2">
      <c r="A44" s="5">
        <v>30</v>
      </c>
      <c r="B44" s="6" t="s">
        <v>63</v>
      </c>
      <c r="C44" s="5" t="s">
        <v>40</v>
      </c>
      <c r="D44" s="5"/>
      <c r="E44" s="5"/>
      <c r="F44" s="5"/>
      <c r="G44" s="7">
        <v>25935</v>
      </c>
      <c r="H44" s="7">
        <f>819+3037</f>
        <v>3856</v>
      </c>
      <c r="I44" s="7">
        <v>5640</v>
      </c>
      <c r="J44" s="8"/>
      <c r="K44" s="9"/>
      <c r="L44" s="9"/>
      <c r="M44" s="9"/>
    </row>
    <row r="45" spans="1:13" ht="15.75" customHeight="1" x14ac:dyDescent="0.2">
      <c r="A45" s="5">
        <v>31</v>
      </c>
      <c r="B45" s="6" t="s">
        <v>64</v>
      </c>
      <c r="C45" s="5" t="s">
        <v>40</v>
      </c>
      <c r="D45" s="5"/>
      <c r="E45" s="5"/>
      <c r="F45" s="5"/>
      <c r="G45" s="7">
        <v>1336</v>
      </c>
      <c r="H45" s="7"/>
      <c r="I45" s="7">
        <v>97</v>
      </c>
      <c r="J45" s="8"/>
      <c r="K45" s="9"/>
      <c r="L45" s="9"/>
      <c r="M45" s="9"/>
    </row>
    <row r="46" spans="1:13" ht="15.75" customHeight="1" x14ac:dyDescent="0.2">
      <c r="A46" s="5">
        <v>32</v>
      </c>
      <c r="B46" s="10" t="s">
        <v>65</v>
      </c>
      <c r="C46" s="5" t="s">
        <v>40</v>
      </c>
      <c r="D46" s="5"/>
      <c r="E46" s="5"/>
      <c r="F46" s="5"/>
      <c r="G46" s="7">
        <v>48736</v>
      </c>
      <c r="H46" s="7">
        <f>1064+4582</f>
        <v>5646</v>
      </c>
      <c r="I46" s="7">
        <v>8629</v>
      </c>
      <c r="J46" s="8"/>
      <c r="K46" s="9"/>
      <c r="L46" s="9"/>
      <c r="M46" s="9"/>
    </row>
    <row r="47" spans="1:13" ht="15.75" customHeight="1" x14ac:dyDescent="0.2">
      <c r="A47" s="5">
        <v>33</v>
      </c>
      <c r="B47" s="10" t="s">
        <v>52</v>
      </c>
      <c r="C47" s="5" t="s">
        <v>40</v>
      </c>
      <c r="D47" s="5"/>
      <c r="E47" s="5"/>
      <c r="F47" s="5"/>
      <c r="G47" s="7">
        <v>17834</v>
      </c>
      <c r="H47" s="7">
        <v>1589</v>
      </c>
      <c r="I47" s="7">
        <v>4389</v>
      </c>
      <c r="J47" s="8"/>
      <c r="K47" s="9"/>
      <c r="L47" s="9"/>
      <c r="M47" s="9"/>
    </row>
    <row r="48" spans="1:13" ht="15.75" customHeight="1" x14ac:dyDescent="0.2">
      <c r="A48" s="5">
        <v>34</v>
      </c>
      <c r="B48" s="10" t="s">
        <v>21</v>
      </c>
      <c r="C48" s="5" t="s">
        <v>40</v>
      </c>
      <c r="D48" s="5"/>
      <c r="E48" s="5"/>
      <c r="F48" s="5"/>
      <c r="G48" s="7">
        <f>47567+413+481</f>
        <v>48461</v>
      </c>
      <c r="H48" s="7">
        <f>1365+4197</f>
        <v>5562</v>
      </c>
      <c r="I48" s="7">
        <v>8992</v>
      </c>
      <c r="J48" s="8"/>
      <c r="K48" s="9"/>
      <c r="L48" s="9"/>
      <c r="M48" s="9"/>
    </row>
    <row r="49" spans="1:13" ht="15.75" customHeight="1" x14ac:dyDescent="0.2">
      <c r="A49" s="5">
        <v>35</v>
      </c>
      <c r="B49" s="10" t="s">
        <v>50</v>
      </c>
      <c r="C49" s="5" t="s">
        <v>40</v>
      </c>
      <c r="D49" s="5"/>
      <c r="E49" s="5"/>
      <c r="F49" s="5"/>
      <c r="G49" s="7">
        <v>6473</v>
      </c>
      <c r="H49" s="7">
        <v>509</v>
      </c>
      <c r="I49" s="7">
        <v>526</v>
      </c>
      <c r="J49" s="8"/>
      <c r="K49" s="9"/>
      <c r="L49" s="9"/>
      <c r="M49" s="9"/>
    </row>
    <row r="50" spans="1:13" ht="15.75" customHeight="1" x14ac:dyDescent="0.2">
      <c r="A50" s="5">
        <v>36</v>
      </c>
      <c r="B50" s="10" t="s">
        <v>23</v>
      </c>
      <c r="C50" s="5" t="s">
        <v>40</v>
      </c>
      <c r="D50" s="5"/>
      <c r="E50" s="5"/>
      <c r="F50" s="5"/>
      <c r="G50" s="7">
        <v>21567</v>
      </c>
      <c r="H50" s="7">
        <v>1735</v>
      </c>
      <c r="I50" s="7">
        <v>5953</v>
      </c>
      <c r="J50" s="8"/>
      <c r="K50" s="9"/>
      <c r="L50" s="9"/>
      <c r="M50" s="9"/>
    </row>
    <row r="51" spans="1:13" ht="15.75" customHeight="1" x14ac:dyDescent="0.2">
      <c r="A51" s="5">
        <v>37</v>
      </c>
      <c r="B51" s="10" t="s">
        <v>44</v>
      </c>
      <c r="C51" s="5" t="s">
        <v>40</v>
      </c>
      <c r="D51" s="5"/>
      <c r="E51" s="5"/>
      <c r="F51" s="5"/>
      <c r="G51" s="7">
        <v>8123</v>
      </c>
      <c r="H51" s="7"/>
      <c r="I51" s="7">
        <v>366</v>
      </c>
      <c r="J51" s="8"/>
      <c r="K51" s="9"/>
      <c r="L51" s="9"/>
      <c r="M51" s="9"/>
    </row>
    <row r="52" spans="1:13" ht="13.5" customHeight="1" x14ac:dyDescent="0.2">
      <c r="A52" s="16" t="s">
        <v>4</v>
      </c>
      <c r="B52" s="16"/>
      <c r="C52" s="11" t="s">
        <v>40</v>
      </c>
      <c r="D52" s="12" t="s">
        <v>66</v>
      </c>
      <c r="E52" s="12" t="s">
        <v>66</v>
      </c>
      <c r="F52" s="12" t="s">
        <v>66</v>
      </c>
      <c r="G52" s="12">
        <f>SUM(G15:G51)</f>
        <v>894801</v>
      </c>
      <c r="H52" s="12">
        <f t="shared" ref="H52:I52" si="0">SUM(H15:H51)</f>
        <v>192905</v>
      </c>
      <c r="I52" s="12">
        <f t="shared" si="0"/>
        <v>200708</v>
      </c>
    </row>
    <row r="53" spans="1:13" x14ac:dyDescent="0.2">
      <c r="G53" s="13"/>
      <c r="H53" s="13"/>
      <c r="I53" s="13"/>
      <c r="J53" s="8"/>
    </row>
    <row r="54" spans="1:13" x14ac:dyDescent="0.2">
      <c r="G54" s="13"/>
      <c r="H54" s="13"/>
      <c r="I54" s="13"/>
    </row>
    <row r="58" spans="1:13" x14ac:dyDescent="0.2">
      <c r="C58" s="14"/>
      <c r="D58" s="14"/>
      <c r="E58" s="14"/>
      <c r="F58" s="14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10" workbookViewId="0">
      <selection activeCell="I49" sqref="I49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5" t="s">
        <v>39</v>
      </c>
      <c r="I1" s="15"/>
    </row>
    <row r="2" spans="1:13" x14ac:dyDescent="0.2">
      <c r="H2" s="15" t="s">
        <v>26</v>
      </c>
      <c r="I2" s="15"/>
    </row>
    <row r="3" spans="1:13" x14ac:dyDescent="0.2">
      <c r="H3" s="15" t="s">
        <v>27</v>
      </c>
      <c r="I3" s="15"/>
    </row>
    <row r="4" spans="1:13" x14ac:dyDescent="0.2">
      <c r="H4" s="15" t="s">
        <v>28</v>
      </c>
      <c r="I4" s="15"/>
    </row>
    <row r="5" spans="1:13" x14ac:dyDescent="0.2">
      <c r="H5" s="15" t="s">
        <v>29</v>
      </c>
      <c r="I5" s="15"/>
    </row>
    <row r="6" spans="1:13" x14ac:dyDescent="0.2">
      <c r="C6" s="2"/>
      <c r="D6" s="2"/>
      <c r="E6" s="2"/>
      <c r="F6" s="2"/>
      <c r="G6" s="2"/>
      <c r="H6" s="15" t="s">
        <v>30</v>
      </c>
      <c r="I6" s="15"/>
    </row>
    <row r="7" spans="1:13" x14ac:dyDescent="0.2">
      <c r="G7" s="2"/>
      <c r="H7" s="15" t="s">
        <v>3</v>
      </c>
      <c r="I7" s="15"/>
    </row>
    <row r="9" spans="1:13" ht="12.75" customHeight="1" x14ac:dyDescent="0.2">
      <c r="A9" s="17" t="s">
        <v>31</v>
      </c>
      <c r="B9" s="17"/>
      <c r="C9" s="17"/>
      <c r="D9" s="17"/>
      <c r="E9" s="17"/>
      <c r="F9" s="17"/>
      <c r="G9" s="17"/>
      <c r="H9" s="17"/>
      <c r="I9" s="17"/>
      <c r="J9" s="3"/>
    </row>
    <row r="10" spans="1:13" ht="30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3"/>
    </row>
    <row r="12" spans="1:13" x14ac:dyDescent="0.2">
      <c r="A12" s="18" t="s">
        <v>0</v>
      </c>
      <c r="B12" s="21" t="s">
        <v>1</v>
      </c>
      <c r="C12" s="22" t="s">
        <v>2</v>
      </c>
      <c r="D12" s="21" t="s">
        <v>68</v>
      </c>
      <c r="E12" s="21"/>
      <c r="F12" s="21"/>
      <c r="G12" s="21"/>
      <c r="H12" s="21"/>
      <c r="I12" s="21"/>
    </row>
    <row r="13" spans="1:13" x14ac:dyDescent="0.2">
      <c r="A13" s="19"/>
      <c r="B13" s="21"/>
      <c r="C13" s="23"/>
      <c r="D13" s="4" t="s">
        <v>32</v>
      </c>
      <c r="E13" s="4" t="s">
        <v>33</v>
      </c>
      <c r="F13" s="4" t="s">
        <v>34</v>
      </c>
      <c r="G13" s="21" t="s">
        <v>35</v>
      </c>
      <c r="H13" s="21"/>
      <c r="I13" s="21"/>
    </row>
    <row r="14" spans="1:13" ht="28.5" customHeight="1" x14ac:dyDescent="0.2">
      <c r="A14" s="20"/>
      <c r="B14" s="21"/>
      <c r="C14" s="24"/>
      <c r="D14" s="4"/>
      <c r="E14" s="4"/>
      <c r="F14" s="4"/>
      <c r="G14" s="4" t="s">
        <v>36</v>
      </c>
      <c r="H14" s="4" t="s">
        <v>37</v>
      </c>
      <c r="I14" s="4" t="s">
        <v>38</v>
      </c>
    </row>
    <row r="15" spans="1:13" ht="15.75" customHeight="1" x14ac:dyDescent="0.2">
      <c r="A15" s="5">
        <v>1</v>
      </c>
      <c r="B15" s="6" t="s">
        <v>25</v>
      </c>
      <c r="C15" s="5" t="s">
        <v>40</v>
      </c>
      <c r="D15" s="5"/>
      <c r="E15" s="5"/>
      <c r="F15" s="5"/>
      <c r="G15" s="7">
        <v>23434</v>
      </c>
      <c r="H15" s="7">
        <v>1638</v>
      </c>
      <c r="I15" s="7">
        <v>27212</v>
      </c>
      <c r="J15" s="8"/>
      <c r="K15" s="9"/>
      <c r="L15" s="9"/>
      <c r="M15" s="9"/>
    </row>
    <row r="16" spans="1:13" ht="15.75" customHeight="1" x14ac:dyDescent="0.2">
      <c r="A16" s="5">
        <v>2</v>
      </c>
      <c r="B16" s="6" t="s">
        <v>47</v>
      </c>
      <c r="C16" s="5" t="s">
        <v>40</v>
      </c>
      <c r="D16" s="5"/>
      <c r="E16" s="5"/>
      <c r="F16" s="5"/>
      <c r="G16" s="7">
        <v>14250</v>
      </c>
      <c r="H16" s="7">
        <v>710</v>
      </c>
      <c r="I16" s="7">
        <v>1221</v>
      </c>
      <c r="J16" s="8"/>
      <c r="K16" s="9"/>
      <c r="L16" s="9"/>
      <c r="M16" s="9"/>
    </row>
    <row r="17" spans="1:13" ht="15.75" customHeight="1" x14ac:dyDescent="0.2">
      <c r="A17" s="5">
        <v>3</v>
      </c>
      <c r="B17" s="6" t="s">
        <v>58</v>
      </c>
      <c r="C17" s="5" t="s">
        <v>40</v>
      </c>
      <c r="D17" s="5"/>
      <c r="E17" s="5"/>
      <c r="F17" s="5"/>
      <c r="G17" s="7">
        <v>2368</v>
      </c>
      <c r="H17" s="7"/>
      <c r="I17" s="7">
        <v>238</v>
      </c>
      <c r="J17" s="8"/>
      <c r="K17" s="9"/>
      <c r="L17" s="9"/>
      <c r="M17" s="9"/>
    </row>
    <row r="18" spans="1:13" ht="15.75" customHeight="1" x14ac:dyDescent="0.2">
      <c r="A18" s="5">
        <v>4</v>
      </c>
      <c r="B18" s="6" t="s">
        <v>15</v>
      </c>
      <c r="C18" s="5" t="s">
        <v>40</v>
      </c>
      <c r="D18" s="5"/>
      <c r="E18" s="5"/>
      <c r="F18" s="5"/>
      <c r="G18" s="7">
        <v>31259</v>
      </c>
      <c r="H18" s="7">
        <v>2183</v>
      </c>
      <c r="I18" s="7">
        <v>1914</v>
      </c>
      <c r="J18" s="8"/>
      <c r="K18" s="9"/>
      <c r="L18" s="9"/>
      <c r="M18" s="9"/>
    </row>
    <row r="19" spans="1:13" ht="15.75" customHeight="1" x14ac:dyDescent="0.2">
      <c r="A19" s="5">
        <v>5</v>
      </c>
      <c r="B19" s="6" t="s">
        <v>46</v>
      </c>
      <c r="C19" s="5" t="s">
        <v>40</v>
      </c>
      <c r="D19" s="5"/>
      <c r="E19" s="5"/>
      <c r="F19" s="5"/>
      <c r="G19" s="7">
        <v>5719</v>
      </c>
      <c r="H19" s="7">
        <v>219</v>
      </c>
      <c r="I19" s="7">
        <v>248</v>
      </c>
      <c r="J19" s="8"/>
      <c r="K19" s="9"/>
      <c r="L19" s="9"/>
      <c r="M19" s="9"/>
    </row>
    <row r="20" spans="1:13" ht="15.75" customHeight="1" x14ac:dyDescent="0.2">
      <c r="A20" s="5">
        <v>6</v>
      </c>
      <c r="B20" s="6" t="s">
        <v>16</v>
      </c>
      <c r="C20" s="5" t="s">
        <v>40</v>
      </c>
      <c r="D20" s="5"/>
      <c r="E20" s="5"/>
      <c r="F20" s="5"/>
      <c r="G20" s="7">
        <v>55717</v>
      </c>
      <c r="H20" s="7">
        <f>6401+11667</f>
        <v>18068</v>
      </c>
      <c r="I20" s="7">
        <v>10276</v>
      </c>
      <c r="J20" s="8"/>
      <c r="K20" s="9"/>
      <c r="L20" s="9"/>
      <c r="M20" s="9"/>
    </row>
    <row r="21" spans="1:13" ht="15.75" customHeight="1" x14ac:dyDescent="0.2">
      <c r="A21" s="5">
        <v>7</v>
      </c>
      <c r="B21" s="6" t="s">
        <v>56</v>
      </c>
      <c r="C21" s="5" t="s">
        <v>40</v>
      </c>
      <c r="D21" s="5"/>
      <c r="E21" s="5"/>
      <c r="F21" s="5"/>
      <c r="G21" s="7">
        <v>11096</v>
      </c>
      <c r="H21" s="7">
        <f>1433+4697</f>
        <v>6130</v>
      </c>
      <c r="I21" s="7">
        <v>1051</v>
      </c>
      <c r="J21" s="8"/>
      <c r="K21" s="9"/>
      <c r="L21" s="9"/>
      <c r="M21" s="9"/>
    </row>
    <row r="22" spans="1:13" ht="15.75" customHeight="1" x14ac:dyDescent="0.2">
      <c r="A22" s="5">
        <v>8</v>
      </c>
      <c r="B22" s="6" t="s">
        <v>53</v>
      </c>
      <c r="C22" s="5" t="s">
        <v>40</v>
      </c>
      <c r="D22" s="5"/>
      <c r="E22" s="5"/>
      <c r="F22" s="5"/>
      <c r="G22" s="7">
        <v>7427</v>
      </c>
      <c r="H22" s="7">
        <v>439</v>
      </c>
      <c r="I22" s="7">
        <v>1340</v>
      </c>
      <c r="J22" s="8"/>
      <c r="K22" s="9"/>
      <c r="L22" s="9"/>
      <c r="M22" s="9"/>
    </row>
    <row r="23" spans="1:13" ht="15.75" customHeight="1" x14ac:dyDescent="0.2">
      <c r="A23" s="5">
        <v>9</v>
      </c>
      <c r="B23" s="6" t="s">
        <v>57</v>
      </c>
      <c r="C23" s="5" t="s">
        <v>40</v>
      </c>
      <c r="D23" s="5"/>
      <c r="E23" s="5"/>
      <c r="F23" s="5"/>
      <c r="G23" s="7">
        <v>8235</v>
      </c>
      <c r="H23" s="7">
        <v>689</v>
      </c>
      <c r="I23" s="7">
        <v>585</v>
      </c>
      <c r="J23" s="8"/>
      <c r="K23" s="9"/>
      <c r="L23" s="9"/>
      <c r="M23" s="9"/>
    </row>
    <row r="24" spans="1:13" ht="15.75" customHeight="1" x14ac:dyDescent="0.2">
      <c r="A24" s="5">
        <v>10</v>
      </c>
      <c r="B24" s="6" t="s">
        <v>59</v>
      </c>
      <c r="C24" s="5" t="s">
        <v>40</v>
      </c>
      <c r="D24" s="5"/>
      <c r="E24" s="5"/>
      <c r="F24" s="5"/>
      <c r="G24" s="7">
        <v>2440</v>
      </c>
      <c r="H24" s="7">
        <v>175</v>
      </c>
      <c r="I24" s="7">
        <v>603</v>
      </c>
      <c r="J24" s="8"/>
      <c r="K24" s="9"/>
      <c r="L24" s="9"/>
      <c r="M24" s="9"/>
    </row>
    <row r="25" spans="1:13" ht="15.75" customHeight="1" x14ac:dyDescent="0.2">
      <c r="A25" s="5">
        <v>11</v>
      </c>
      <c r="B25" s="6" t="s">
        <v>45</v>
      </c>
      <c r="C25" s="5" t="s">
        <v>40</v>
      </c>
      <c r="D25" s="5"/>
      <c r="E25" s="5"/>
      <c r="F25" s="5"/>
      <c r="G25" s="7">
        <v>8730</v>
      </c>
      <c r="H25" s="7"/>
      <c r="I25" s="7">
        <v>1720</v>
      </c>
      <c r="J25" s="8"/>
      <c r="K25" s="9"/>
      <c r="L25" s="9"/>
      <c r="M25" s="9"/>
    </row>
    <row r="26" spans="1:13" ht="15.75" customHeight="1" x14ac:dyDescent="0.2">
      <c r="A26" s="5">
        <v>12</v>
      </c>
      <c r="B26" s="6" t="s">
        <v>14</v>
      </c>
      <c r="C26" s="5" t="s">
        <v>40</v>
      </c>
      <c r="D26" s="5"/>
      <c r="E26" s="5"/>
      <c r="F26" s="5"/>
      <c r="G26" s="7">
        <v>47273</v>
      </c>
      <c r="H26" s="7">
        <f>8511+235</f>
        <v>8746</v>
      </c>
      <c r="I26" s="7">
        <v>10740</v>
      </c>
      <c r="J26" s="8"/>
      <c r="K26" s="9"/>
      <c r="L26" s="9"/>
      <c r="M26" s="9"/>
    </row>
    <row r="27" spans="1:13" ht="15.75" customHeight="1" x14ac:dyDescent="0.2">
      <c r="A27" s="5">
        <v>13</v>
      </c>
      <c r="B27" s="6" t="s">
        <v>51</v>
      </c>
      <c r="C27" s="5" t="s">
        <v>40</v>
      </c>
      <c r="D27" s="5"/>
      <c r="E27" s="5"/>
      <c r="F27" s="5"/>
      <c r="G27" s="7">
        <v>12585</v>
      </c>
      <c r="H27" s="7">
        <v>349</v>
      </c>
      <c r="I27" s="7">
        <v>1292</v>
      </c>
      <c r="J27" s="8"/>
      <c r="K27" s="9"/>
      <c r="L27" s="9"/>
      <c r="M27" s="9"/>
    </row>
    <row r="28" spans="1:13" ht="15.75" customHeight="1" x14ac:dyDescent="0.2">
      <c r="A28" s="5">
        <v>14</v>
      </c>
      <c r="B28" s="6" t="s">
        <v>18</v>
      </c>
      <c r="C28" s="5" t="s">
        <v>40</v>
      </c>
      <c r="D28" s="5"/>
      <c r="E28" s="5"/>
      <c r="F28" s="5"/>
      <c r="G28" s="7">
        <v>43914</v>
      </c>
      <c r="H28" s="7">
        <v>1747</v>
      </c>
      <c r="I28" s="7">
        <v>4395</v>
      </c>
      <c r="J28" s="8"/>
      <c r="K28" s="9"/>
      <c r="L28" s="9"/>
      <c r="M28" s="9"/>
    </row>
    <row r="29" spans="1:13" ht="15.75" customHeight="1" x14ac:dyDescent="0.2">
      <c r="A29" s="5">
        <v>15</v>
      </c>
      <c r="B29" s="10" t="s">
        <v>60</v>
      </c>
      <c r="C29" s="5" t="s">
        <v>40</v>
      </c>
      <c r="D29" s="5"/>
      <c r="E29" s="5"/>
      <c r="F29" s="5"/>
      <c r="G29" s="7">
        <v>4069</v>
      </c>
      <c r="H29" s="7">
        <v>76</v>
      </c>
      <c r="I29" s="7">
        <v>240</v>
      </c>
      <c r="J29" s="8"/>
      <c r="K29" s="9"/>
      <c r="L29" s="9"/>
      <c r="M29" s="9"/>
    </row>
    <row r="30" spans="1:13" ht="15.75" customHeight="1" x14ac:dyDescent="0.2">
      <c r="A30" s="5">
        <v>16</v>
      </c>
      <c r="B30" s="10" t="s">
        <v>17</v>
      </c>
      <c r="C30" s="5" t="s">
        <v>40</v>
      </c>
      <c r="D30" s="5"/>
      <c r="E30" s="5"/>
      <c r="F30" s="5"/>
      <c r="G30" s="7">
        <v>57841</v>
      </c>
      <c r="H30" s="7">
        <f>1657+36631</f>
        <v>38288</v>
      </c>
      <c r="I30" s="7">
        <v>6015</v>
      </c>
      <c r="J30" s="8"/>
      <c r="K30" s="9"/>
      <c r="L30" s="9"/>
      <c r="M30" s="9"/>
    </row>
    <row r="31" spans="1:13" ht="15.75" customHeight="1" x14ac:dyDescent="0.2">
      <c r="A31" s="5">
        <v>17</v>
      </c>
      <c r="B31" s="10" t="s">
        <v>61</v>
      </c>
      <c r="C31" s="5" t="s">
        <v>40</v>
      </c>
      <c r="D31" s="5"/>
      <c r="E31" s="5"/>
      <c r="F31" s="5"/>
      <c r="G31" s="7">
        <v>7583</v>
      </c>
      <c r="H31" s="7"/>
      <c r="I31" s="7">
        <v>692</v>
      </c>
      <c r="J31" s="8"/>
      <c r="K31" s="9"/>
      <c r="L31" s="9"/>
      <c r="M31" s="9"/>
    </row>
    <row r="32" spans="1:13" ht="15.75" customHeight="1" x14ac:dyDescent="0.2">
      <c r="A32" s="5">
        <v>18</v>
      </c>
      <c r="B32" s="6" t="s">
        <v>41</v>
      </c>
      <c r="C32" s="5" t="s">
        <v>40</v>
      </c>
      <c r="D32" s="5"/>
      <c r="E32" s="5"/>
      <c r="F32" s="5"/>
      <c r="G32" s="7">
        <v>25392</v>
      </c>
      <c r="H32" s="7">
        <f>581+13100</f>
        <v>13681</v>
      </c>
      <c r="I32" s="7">
        <v>1377</v>
      </c>
      <c r="J32" s="8"/>
      <c r="K32" s="9"/>
      <c r="L32" s="9"/>
      <c r="M32" s="9"/>
    </row>
    <row r="33" spans="1:13" ht="15.75" customHeight="1" x14ac:dyDescent="0.2">
      <c r="A33" s="5">
        <v>19</v>
      </c>
      <c r="B33" s="6" t="s">
        <v>62</v>
      </c>
      <c r="C33" s="5" t="s">
        <v>40</v>
      </c>
      <c r="D33" s="5"/>
      <c r="E33" s="5"/>
      <c r="F33" s="5"/>
      <c r="G33" s="7">
        <v>10577</v>
      </c>
      <c r="H33" s="7">
        <f>98+348</f>
        <v>446</v>
      </c>
      <c r="I33" s="7">
        <v>864</v>
      </c>
      <c r="J33" s="8"/>
      <c r="K33" s="9"/>
      <c r="L33" s="9"/>
      <c r="M33" s="9"/>
    </row>
    <row r="34" spans="1:13" ht="15.75" customHeight="1" x14ac:dyDescent="0.2">
      <c r="A34" s="5">
        <v>20</v>
      </c>
      <c r="B34" s="6" t="s">
        <v>49</v>
      </c>
      <c r="C34" s="5" t="s">
        <v>40</v>
      </c>
      <c r="D34" s="5"/>
      <c r="E34" s="5"/>
      <c r="F34" s="5"/>
      <c r="G34" s="7">
        <v>855</v>
      </c>
      <c r="H34" s="7"/>
      <c r="I34" s="7">
        <v>14</v>
      </c>
      <c r="J34" s="8"/>
      <c r="K34" s="9"/>
      <c r="L34" s="9"/>
      <c r="M34" s="9"/>
    </row>
    <row r="35" spans="1:13" ht="15.75" customHeight="1" x14ac:dyDescent="0.2">
      <c r="A35" s="5">
        <v>21</v>
      </c>
      <c r="B35" s="6" t="s">
        <v>20</v>
      </c>
      <c r="C35" s="5" t="s">
        <v>40</v>
      </c>
      <c r="D35" s="5"/>
      <c r="E35" s="5"/>
      <c r="F35" s="5"/>
      <c r="G35" s="7">
        <v>41934</v>
      </c>
      <c r="H35" s="7">
        <v>4720</v>
      </c>
      <c r="I35" s="7">
        <v>5068</v>
      </c>
      <c r="J35" s="8"/>
      <c r="K35" s="9"/>
      <c r="L35" s="9"/>
      <c r="M35" s="9"/>
    </row>
    <row r="36" spans="1:13" ht="15.75" customHeight="1" x14ac:dyDescent="0.2">
      <c r="A36" s="5">
        <v>22</v>
      </c>
      <c r="B36" s="6" t="s">
        <v>22</v>
      </c>
      <c r="C36" s="5" t="s">
        <v>40</v>
      </c>
      <c r="D36" s="5"/>
      <c r="E36" s="5"/>
      <c r="F36" s="5"/>
      <c r="G36" s="7">
        <v>82798</v>
      </c>
      <c r="H36" s="7">
        <f>16340+279</f>
        <v>16619</v>
      </c>
      <c r="I36" s="7">
        <v>8064</v>
      </c>
      <c r="J36" s="8"/>
      <c r="K36" s="9"/>
      <c r="L36" s="9"/>
      <c r="M36" s="9"/>
    </row>
    <row r="37" spans="1:13" ht="15.75" customHeight="1" x14ac:dyDescent="0.2">
      <c r="A37" s="5">
        <v>23</v>
      </c>
      <c r="B37" s="6" t="s">
        <v>55</v>
      </c>
      <c r="C37" s="5" t="s">
        <v>40</v>
      </c>
      <c r="D37" s="5"/>
      <c r="E37" s="5"/>
      <c r="F37" s="5"/>
      <c r="G37" s="7">
        <v>62987</v>
      </c>
      <c r="H37" s="7">
        <f>14931+259</f>
        <v>15190</v>
      </c>
      <c r="I37" s="7">
        <v>27962</v>
      </c>
      <c r="J37" s="8"/>
      <c r="K37" s="9"/>
      <c r="L37" s="9"/>
      <c r="M37" s="9"/>
    </row>
    <row r="38" spans="1:13" ht="15.75" customHeight="1" x14ac:dyDescent="0.2">
      <c r="A38" s="5">
        <v>24</v>
      </c>
      <c r="B38" s="6" t="s">
        <v>19</v>
      </c>
      <c r="C38" s="5" t="s">
        <v>40</v>
      </c>
      <c r="D38" s="5"/>
      <c r="E38" s="5"/>
      <c r="F38" s="5"/>
      <c r="G38" s="7">
        <v>28336</v>
      </c>
      <c r="H38" s="7">
        <f>3466+11265</f>
        <v>14731</v>
      </c>
      <c r="I38" s="7">
        <v>5910</v>
      </c>
      <c r="J38" s="8"/>
      <c r="K38" s="9"/>
      <c r="L38" s="9"/>
      <c r="M38" s="9"/>
    </row>
    <row r="39" spans="1:13" ht="15.75" customHeight="1" x14ac:dyDescent="0.2">
      <c r="A39" s="5">
        <v>25</v>
      </c>
      <c r="B39" s="6" t="s">
        <v>24</v>
      </c>
      <c r="C39" s="5" t="s">
        <v>40</v>
      </c>
      <c r="D39" s="5"/>
      <c r="E39" s="5"/>
      <c r="F39" s="5"/>
      <c r="G39" s="7">
        <v>61681</v>
      </c>
      <c r="H39" s="7">
        <f>10788+1234</f>
        <v>12022</v>
      </c>
      <c r="I39" s="7">
        <v>5231</v>
      </c>
      <c r="J39" s="8"/>
      <c r="K39" s="9"/>
      <c r="L39" s="9"/>
      <c r="M39" s="9"/>
    </row>
    <row r="40" spans="1:13" ht="15.75" customHeight="1" x14ac:dyDescent="0.2">
      <c r="A40" s="5">
        <v>26</v>
      </c>
      <c r="B40" s="6" t="s">
        <v>48</v>
      </c>
      <c r="C40" s="5" t="s">
        <v>40</v>
      </c>
      <c r="D40" s="5"/>
      <c r="E40" s="5"/>
      <c r="F40" s="5"/>
      <c r="G40" s="7">
        <v>2720</v>
      </c>
      <c r="H40" s="7"/>
      <c r="I40" s="7">
        <v>37</v>
      </c>
      <c r="J40" s="8"/>
      <c r="K40" s="9"/>
      <c r="L40" s="9"/>
      <c r="M40" s="9"/>
    </row>
    <row r="41" spans="1:13" ht="15.75" customHeight="1" x14ac:dyDescent="0.2">
      <c r="A41" s="5">
        <v>27</v>
      </c>
      <c r="B41" s="6" t="s">
        <v>42</v>
      </c>
      <c r="C41" s="5" t="s">
        <v>40</v>
      </c>
      <c r="D41" s="5"/>
      <c r="E41" s="5"/>
      <c r="F41" s="5"/>
      <c r="G41" s="7">
        <v>8448</v>
      </c>
      <c r="H41" s="7">
        <v>229</v>
      </c>
      <c r="I41" s="7">
        <v>1081</v>
      </c>
      <c r="J41" s="8"/>
      <c r="K41" s="9"/>
      <c r="L41" s="9"/>
      <c r="M41" s="9"/>
    </row>
    <row r="42" spans="1:13" ht="15.75" customHeight="1" x14ac:dyDescent="0.2">
      <c r="A42" s="5">
        <v>28</v>
      </c>
      <c r="B42" s="6" t="s">
        <v>54</v>
      </c>
      <c r="C42" s="5" t="s">
        <v>40</v>
      </c>
      <c r="D42" s="5"/>
      <c r="E42" s="5"/>
      <c r="F42" s="5"/>
      <c r="G42" s="7">
        <v>5586</v>
      </c>
      <c r="H42" s="7">
        <v>1062</v>
      </c>
      <c r="I42" s="7">
        <v>684</v>
      </c>
      <c r="J42" s="8"/>
      <c r="K42" s="9"/>
      <c r="L42" s="9"/>
      <c r="M42" s="9"/>
    </row>
    <row r="43" spans="1:13" ht="15.75" customHeight="1" x14ac:dyDescent="0.2">
      <c r="A43" s="5">
        <v>29</v>
      </c>
      <c r="B43" s="6" t="s">
        <v>43</v>
      </c>
      <c r="C43" s="5" t="s">
        <v>40</v>
      </c>
      <c r="D43" s="5"/>
      <c r="E43" s="5"/>
      <c r="F43" s="5"/>
      <c r="G43" s="7">
        <v>6014</v>
      </c>
      <c r="H43" s="7">
        <v>6</v>
      </c>
      <c r="I43" s="7">
        <v>582</v>
      </c>
      <c r="J43" s="8"/>
      <c r="K43" s="9"/>
      <c r="L43" s="9"/>
      <c r="M43" s="9"/>
    </row>
    <row r="44" spans="1:13" ht="15.75" customHeight="1" x14ac:dyDescent="0.2">
      <c r="A44" s="5">
        <v>30</v>
      </c>
      <c r="B44" s="6" t="s">
        <v>63</v>
      </c>
      <c r="C44" s="5" t="s">
        <v>40</v>
      </c>
      <c r="D44" s="5"/>
      <c r="E44" s="5"/>
      <c r="F44" s="5"/>
      <c r="G44" s="7">
        <v>21670</v>
      </c>
      <c r="H44" s="7">
        <f>2686+800</f>
        <v>3486</v>
      </c>
      <c r="I44" s="7">
        <v>5107</v>
      </c>
      <c r="J44" s="8"/>
      <c r="K44" s="9"/>
      <c r="L44" s="9"/>
      <c r="M44" s="9"/>
    </row>
    <row r="45" spans="1:13" ht="15.75" customHeight="1" x14ac:dyDescent="0.2">
      <c r="A45" s="5">
        <v>31</v>
      </c>
      <c r="B45" s="6" t="s">
        <v>64</v>
      </c>
      <c r="C45" s="5" t="s">
        <v>40</v>
      </c>
      <c r="D45" s="5"/>
      <c r="E45" s="5"/>
      <c r="F45" s="5"/>
      <c r="G45" s="7">
        <v>1496</v>
      </c>
      <c r="H45" s="7"/>
      <c r="I45" s="7">
        <v>103</v>
      </c>
      <c r="J45" s="8"/>
      <c r="K45" s="9"/>
      <c r="L45" s="9"/>
      <c r="M45" s="9"/>
    </row>
    <row r="46" spans="1:13" ht="15.75" customHeight="1" x14ac:dyDescent="0.2">
      <c r="A46" s="5">
        <v>32</v>
      </c>
      <c r="B46" s="10" t="s">
        <v>65</v>
      </c>
      <c r="C46" s="5" t="s">
        <v>40</v>
      </c>
      <c r="D46" s="5"/>
      <c r="E46" s="5"/>
      <c r="F46" s="5"/>
      <c r="G46" s="7">
        <v>40212</v>
      </c>
      <c r="H46" s="7">
        <f>3961+4992</f>
        <v>8953</v>
      </c>
      <c r="I46" s="7">
        <v>6415</v>
      </c>
      <c r="J46" s="8"/>
      <c r="K46" s="9"/>
      <c r="L46" s="9"/>
      <c r="M46" s="9"/>
    </row>
    <row r="47" spans="1:13" ht="15.75" customHeight="1" x14ac:dyDescent="0.2">
      <c r="A47" s="5">
        <v>33</v>
      </c>
      <c r="B47" s="10" t="s">
        <v>52</v>
      </c>
      <c r="C47" s="5" t="s">
        <v>40</v>
      </c>
      <c r="D47" s="5"/>
      <c r="E47" s="5"/>
      <c r="F47" s="5"/>
      <c r="G47" s="7">
        <v>16673</v>
      </c>
      <c r="H47" s="7">
        <v>2179</v>
      </c>
      <c r="I47" s="7">
        <v>4033</v>
      </c>
      <c r="J47" s="8"/>
      <c r="K47" s="9"/>
      <c r="L47" s="9"/>
      <c r="M47" s="9"/>
    </row>
    <row r="48" spans="1:13" ht="15.75" customHeight="1" x14ac:dyDescent="0.2">
      <c r="A48" s="5">
        <v>34</v>
      </c>
      <c r="B48" s="10" t="s">
        <v>21</v>
      </c>
      <c r="C48" s="5" t="s">
        <v>40</v>
      </c>
      <c r="D48" s="5"/>
      <c r="E48" s="5"/>
      <c r="F48" s="5"/>
      <c r="G48" s="7">
        <f>52477+404+458</f>
        <v>53339</v>
      </c>
      <c r="H48" s="7">
        <f>4962+142</f>
        <v>5104</v>
      </c>
      <c r="I48" s="7">
        <v>10344</v>
      </c>
      <c r="J48" s="8"/>
      <c r="K48" s="9"/>
      <c r="L48" s="9"/>
      <c r="M48" s="9"/>
    </row>
    <row r="49" spans="1:13" ht="15.75" customHeight="1" x14ac:dyDescent="0.2">
      <c r="A49" s="5">
        <v>35</v>
      </c>
      <c r="B49" s="10" t="s">
        <v>50</v>
      </c>
      <c r="C49" s="5" t="s">
        <v>40</v>
      </c>
      <c r="D49" s="5"/>
      <c r="E49" s="5"/>
      <c r="F49" s="5"/>
      <c r="G49" s="7">
        <v>5719</v>
      </c>
      <c r="H49" s="7">
        <v>550</v>
      </c>
      <c r="I49" s="7">
        <v>407</v>
      </c>
      <c r="J49" s="8"/>
      <c r="K49" s="9"/>
      <c r="L49" s="9"/>
      <c r="M49" s="9"/>
    </row>
    <row r="50" spans="1:13" ht="15.75" customHeight="1" x14ac:dyDescent="0.2">
      <c r="A50" s="5">
        <v>36</v>
      </c>
      <c r="B50" s="10" t="s">
        <v>23</v>
      </c>
      <c r="C50" s="5" t="s">
        <v>40</v>
      </c>
      <c r="D50" s="5"/>
      <c r="E50" s="5"/>
      <c r="F50" s="5"/>
      <c r="G50" s="7">
        <v>18831</v>
      </c>
      <c r="H50" s="7">
        <v>1518</v>
      </c>
      <c r="I50" s="7">
        <v>3979</v>
      </c>
      <c r="J50" s="8"/>
      <c r="K50" s="9"/>
      <c r="L50" s="9"/>
      <c r="M50" s="9"/>
    </row>
    <row r="51" spans="1:13" ht="15.75" customHeight="1" x14ac:dyDescent="0.2">
      <c r="A51" s="5">
        <v>37</v>
      </c>
      <c r="B51" s="10" t="s">
        <v>44</v>
      </c>
      <c r="C51" s="5" t="s">
        <v>40</v>
      </c>
      <c r="D51" s="5"/>
      <c r="E51" s="5"/>
      <c r="F51" s="5"/>
      <c r="G51" s="7">
        <v>8880</v>
      </c>
      <c r="H51" s="7"/>
      <c r="I51" s="7">
        <v>436</v>
      </c>
      <c r="J51" s="8"/>
      <c r="K51" s="9"/>
      <c r="L51" s="9"/>
      <c r="M51" s="9"/>
    </row>
    <row r="52" spans="1:13" ht="13.5" customHeight="1" x14ac:dyDescent="0.2">
      <c r="A52" s="16" t="s">
        <v>4</v>
      </c>
      <c r="B52" s="16"/>
      <c r="C52" s="11" t="s">
        <v>40</v>
      </c>
      <c r="D52" s="12" t="s">
        <v>66</v>
      </c>
      <c r="E52" s="12" t="s">
        <v>66</v>
      </c>
      <c r="F52" s="12" t="s">
        <v>66</v>
      </c>
      <c r="G52" s="12">
        <f>SUM(G15:G51)</f>
        <v>848088</v>
      </c>
      <c r="H52" s="12">
        <f t="shared" ref="H52:I52" si="0">SUM(H15:H51)</f>
        <v>179953</v>
      </c>
      <c r="I52" s="12">
        <f t="shared" si="0"/>
        <v>157480</v>
      </c>
    </row>
    <row r="53" spans="1:13" x14ac:dyDescent="0.2">
      <c r="G53" s="13"/>
      <c r="H53" s="13"/>
      <c r="I53" s="13"/>
      <c r="J53" s="8"/>
    </row>
    <row r="54" spans="1:13" x14ac:dyDescent="0.2">
      <c r="G54" s="13"/>
      <c r="H54" s="13"/>
      <c r="I54" s="13"/>
    </row>
    <row r="58" spans="1:13" x14ac:dyDescent="0.2">
      <c r="C58" s="14"/>
      <c r="D58" s="14"/>
      <c r="E58" s="14"/>
      <c r="F58" s="14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22" workbookViewId="0">
      <selection activeCell="G16" sqref="G16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5" t="s">
        <v>39</v>
      </c>
      <c r="I1" s="15"/>
    </row>
    <row r="2" spans="1:13" x14ac:dyDescent="0.2">
      <c r="H2" s="15" t="s">
        <v>26</v>
      </c>
      <c r="I2" s="15"/>
    </row>
    <row r="3" spans="1:13" x14ac:dyDescent="0.2">
      <c r="H3" s="15" t="s">
        <v>27</v>
      </c>
      <c r="I3" s="15"/>
    </row>
    <row r="4" spans="1:13" x14ac:dyDescent="0.2">
      <c r="H4" s="15" t="s">
        <v>28</v>
      </c>
      <c r="I4" s="15"/>
    </row>
    <row r="5" spans="1:13" x14ac:dyDescent="0.2">
      <c r="H5" s="15" t="s">
        <v>29</v>
      </c>
      <c r="I5" s="15"/>
    </row>
    <row r="6" spans="1:13" x14ac:dyDescent="0.2">
      <c r="C6" s="2"/>
      <c r="D6" s="2"/>
      <c r="E6" s="2"/>
      <c r="F6" s="2"/>
      <c r="G6" s="2"/>
      <c r="H6" s="15" t="s">
        <v>30</v>
      </c>
      <c r="I6" s="15"/>
    </row>
    <row r="7" spans="1:13" x14ac:dyDescent="0.2">
      <c r="G7" s="2"/>
      <c r="H7" s="15" t="s">
        <v>3</v>
      </c>
      <c r="I7" s="15"/>
    </row>
    <row r="9" spans="1:13" ht="12.75" customHeight="1" x14ac:dyDescent="0.2">
      <c r="A9" s="17" t="s">
        <v>31</v>
      </c>
      <c r="B9" s="17"/>
      <c r="C9" s="17"/>
      <c r="D9" s="17"/>
      <c r="E9" s="17"/>
      <c r="F9" s="17"/>
      <c r="G9" s="17"/>
      <c r="H9" s="17"/>
      <c r="I9" s="17"/>
      <c r="J9" s="3"/>
    </row>
    <row r="10" spans="1:13" ht="30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3"/>
    </row>
    <row r="12" spans="1:13" x14ac:dyDescent="0.2">
      <c r="A12" s="18" t="s">
        <v>0</v>
      </c>
      <c r="B12" s="21" t="s">
        <v>1</v>
      </c>
      <c r="C12" s="22" t="s">
        <v>2</v>
      </c>
      <c r="D12" s="21" t="s">
        <v>9</v>
      </c>
      <c r="E12" s="21"/>
      <c r="F12" s="21"/>
      <c r="G12" s="21"/>
      <c r="H12" s="21"/>
      <c r="I12" s="21"/>
    </row>
    <row r="13" spans="1:13" x14ac:dyDescent="0.2">
      <c r="A13" s="19"/>
      <c r="B13" s="21"/>
      <c r="C13" s="23"/>
      <c r="D13" s="4" t="s">
        <v>32</v>
      </c>
      <c r="E13" s="4" t="s">
        <v>33</v>
      </c>
      <c r="F13" s="4" t="s">
        <v>34</v>
      </c>
      <c r="G13" s="21" t="s">
        <v>35</v>
      </c>
      <c r="H13" s="21"/>
      <c r="I13" s="21"/>
    </row>
    <row r="14" spans="1:13" ht="28.5" customHeight="1" x14ac:dyDescent="0.2">
      <c r="A14" s="20"/>
      <c r="B14" s="21"/>
      <c r="C14" s="24"/>
      <c r="D14" s="4"/>
      <c r="E14" s="4"/>
      <c r="F14" s="4"/>
      <c r="G14" s="4" t="s">
        <v>36</v>
      </c>
      <c r="H14" s="4" t="s">
        <v>37</v>
      </c>
      <c r="I14" s="4" t="s">
        <v>38</v>
      </c>
    </row>
    <row r="15" spans="1:13" ht="15.75" customHeight="1" x14ac:dyDescent="0.2">
      <c r="A15" s="5">
        <v>1</v>
      </c>
      <c r="B15" s="6" t="s">
        <v>25</v>
      </c>
      <c r="C15" s="5" t="s">
        <v>40</v>
      </c>
      <c r="D15" s="5"/>
      <c r="E15" s="5"/>
      <c r="F15" s="5"/>
      <c r="G15" s="7">
        <v>23525</v>
      </c>
      <c r="H15" s="7">
        <v>2056</v>
      </c>
      <c r="I15" s="7">
        <v>26222</v>
      </c>
      <c r="J15" s="8"/>
      <c r="K15" s="9"/>
      <c r="L15" s="9"/>
      <c r="M15" s="9"/>
    </row>
    <row r="16" spans="1:13" ht="15.75" customHeight="1" x14ac:dyDescent="0.2">
      <c r="A16" s="5">
        <v>2</v>
      </c>
      <c r="B16" s="6" t="s">
        <v>47</v>
      </c>
      <c r="C16" s="5" t="s">
        <v>40</v>
      </c>
      <c r="D16" s="5"/>
      <c r="E16" s="5"/>
      <c r="F16" s="5"/>
      <c r="G16" s="7">
        <v>15711</v>
      </c>
      <c r="H16" s="7">
        <v>2096</v>
      </c>
      <c r="I16" s="7">
        <v>2949</v>
      </c>
      <c r="J16" s="8"/>
      <c r="K16" s="9"/>
      <c r="L16" s="9"/>
      <c r="M16" s="9"/>
    </row>
    <row r="17" spans="1:13" ht="15.75" customHeight="1" x14ac:dyDescent="0.2">
      <c r="A17" s="5">
        <v>3</v>
      </c>
      <c r="B17" s="6" t="s">
        <v>58</v>
      </c>
      <c r="C17" s="5" t="s">
        <v>40</v>
      </c>
      <c r="D17" s="5"/>
      <c r="E17" s="5"/>
      <c r="F17" s="5"/>
      <c r="G17" s="7">
        <v>3163</v>
      </c>
      <c r="H17" s="7"/>
      <c r="I17" s="7">
        <v>235</v>
      </c>
      <c r="J17" s="8"/>
      <c r="K17" s="9"/>
      <c r="L17" s="9"/>
      <c r="M17" s="9"/>
    </row>
    <row r="18" spans="1:13" ht="15.75" customHeight="1" x14ac:dyDescent="0.2">
      <c r="A18" s="5">
        <v>4</v>
      </c>
      <c r="B18" s="6" t="s">
        <v>15</v>
      </c>
      <c r="C18" s="5" t="s">
        <v>40</v>
      </c>
      <c r="D18" s="5"/>
      <c r="E18" s="5"/>
      <c r="F18" s="5"/>
      <c r="G18" s="7">
        <v>31235</v>
      </c>
      <c r="H18" s="7">
        <v>2046</v>
      </c>
      <c r="I18" s="7">
        <v>2725</v>
      </c>
      <c r="J18" s="8"/>
      <c r="K18" s="9"/>
      <c r="L18" s="9"/>
      <c r="M18" s="9"/>
    </row>
    <row r="19" spans="1:13" ht="15.75" customHeight="1" x14ac:dyDescent="0.2">
      <c r="A19" s="5">
        <v>5</v>
      </c>
      <c r="B19" s="6" t="s">
        <v>46</v>
      </c>
      <c r="C19" s="5" t="s">
        <v>40</v>
      </c>
      <c r="D19" s="5"/>
      <c r="E19" s="5"/>
      <c r="F19" s="5"/>
      <c r="G19" s="7">
        <v>5241</v>
      </c>
      <c r="H19" s="7">
        <v>268</v>
      </c>
      <c r="I19" s="7">
        <v>387</v>
      </c>
      <c r="J19" s="8"/>
      <c r="K19" s="9"/>
      <c r="L19" s="9"/>
      <c r="M19" s="9"/>
    </row>
    <row r="20" spans="1:13" ht="15.75" customHeight="1" x14ac:dyDescent="0.2">
      <c r="A20" s="5">
        <v>6</v>
      </c>
      <c r="B20" s="6" t="s">
        <v>16</v>
      </c>
      <c r="C20" s="5" t="s">
        <v>40</v>
      </c>
      <c r="D20" s="5"/>
      <c r="E20" s="5"/>
      <c r="F20" s="5"/>
      <c r="G20" s="7">
        <v>41970</v>
      </c>
      <c r="H20" s="7">
        <f>12755+5093</f>
        <v>17848</v>
      </c>
      <c r="I20" s="7">
        <v>14187</v>
      </c>
      <c r="J20" s="8"/>
      <c r="K20" s="9"/>
      <c r="L20" s="9"/>
      <c r="M20" s="9"/>
    </row>
    <row r="21" spans="1:13" ht="15.75" customHeight="1" x14ac:dyDescent="0.2">
      <c r="A21" s="5">
        <v>7</v>
      </c>
      <c r="B21" s="6" t="s">
        <v>56</v>
      </c>
      <c r="C21" s="5" t="s">
        <v>40</v>
      </c>
      <c r="D21" s="5"/>
      <c r="E21" s="5"/>
      <c r="F21" s="5"/>
      <c r="G21" s="7">
        <v>9465</v>
      </c>
      <c r="H21" s="7">
        <f>2838+931</f>
        <v>3769</v>
      </c>
      <c r="I21" s="7">
        <v>696</v>
      </c>
      <c r="J21" s="8"/>
      <c r="K21" s="9"/>
      <c r="L21" s="9"/>
      <c r="M21" s="9"/>
    </row>
    <row r="22" spans="1:13" ht="15.75" customHeight="1" x14ac:dyDescent="0.2">
      <c r="A22" s="5">
        <v>8</v>
      </c>
      <c r="B22" s="6" t="s">
        <v>53</v>
      </c>
      <c r="C22" s="5" t="s">
        <v>40</v>
      </c>
      <c r="D22" s="5"/>
      <c r="E22" s="5"/>
      <c r="F22" s="5"/>
      <c r="G22" s="7">
        <v>6062</v>
      </c>
      <c r="H22" s="7">
        <v>342</v>
      </c>
      <c r="I22" s="7">
        <v>944</v>
      </c>
      <c r="J22" s="8"/>
      <c r="K22" s="9"/>
      <c r="L22" s="9"/>
      <c r="M22" s="9"/>
    </row>
    <row r="23" spans="1:13" ht="15.75" customHeight="1" x14ac:dyDescent="0.2">
      <c r="A23" s="5">
        <v>9</v>
      </c>
      <c r="B23" s="6" t="s">
        <v>57</v>
      </c>
      <c r="C23" s="5" t="s">
        <v>40</v>
      </c>
      <c r="D23" s="5"/>
      <c r="E23" s="5"/>
      <c r="F23" s="5"/>
      <c r="G23" s="7">
        <v>8565</v>
      </c>
      <c r="H23" s="7">
        <v>602</v>
      </c>
      <c r="I23" s="7">
        <v>400</v>
      </c>
      <c r="J23" s="8"/>
      <c r="K23" s="9"/>
      <c r="L23" s="9"/>
      <c r="M23" s="9"/>
    </row>
    <row r="24" spans="1:13" ht="15.75" customHeight="1" x14ac:dyDescent="0.2">
      <c r="A24" s="5">
        <v>10</v>
      </c>
      <c r="B24" s="6" t="s">
        <v>59</v>
      </c>
      <c r="C24" s="5" t="s">
        <v>40</v>
      </c>
      <c r="D24" s="5"/>
      <c r="E24" s="5"/>
      <c r="F24" s="5"/>
      <c r="G24" s="7">
        <v>3259</v>
      </c>
      <c r="H24" s="7">
        <v>102</v>
      </c>
      <c r="I24" s="7">
        <v>391</v>
      </c>
      <c r="J24" s="8"/>
      <c r="K24" s="9"/>
      <c r="L24" s="9"/>
      <c r="M24" s="9"/>
    </row>
    <row r="25" spans="1:13" ht="15.75" customHeight="1" x14ac:dyDescent="0.2">
      <c r="A25" s="5">
        <v>11</v>
      </c>
      <c r="B25" s="6" t="s">
        <v>45</v>
      </c>
      <c r="C25" s="5" t="s">
        <v>40</v>
      </c>
      <c r="D25" s="5"/>
      <c r="E25" s="5"/>
      <c r="F25" s="5"/>
      <c r="G25" s="7">
        <v>9230</v>
      </c>
      <c r="H25" s="7"/>
      <c r="I25" s="7">
        <v>1465</v>
      </c>
      <c r="J25" s="8"/>
      <c r="K25" s="9"/>
      <c r="L25" s="9"/>
      <c r="M25" s="9"/>
    </row>
    <row r="26" spans="1:13" ht="15.75" customHeight="1" x14ac:dyDescent="0.2">
      <c r="A26" s="5">
        <v>12</v>
      </c>
      <c r="B26" s="6" t="s">
        <v>14</v>
      </c>
      <c r="C26" s="5" t="s">
        <v>40</v>
      </c>
      <c r="D26" s="5"/>
      <c r="E26" s="5"/>
      <c r="F26" s="5"/>
      <c r="G26" s="7">
        <v>48246</v>
      </c>
      <c r="H26" s="7">
        <f>139+9651</f>
        <v>9790</v>
      </c>
      <c r="I26" s="7">
        <v>10341</v>
      </c>
      <c r="J26" s="8"/>
      <c r="K26" s="9"/>
      <c r="L26" s="9"/>
      <c r="M26" s="9"/>
    </row>
    <row r="27" spans="1:13" ht="15.75" customHeight="1" x14ac:dyDescent="0.2">
      <c r="A27" s="5">
        <v>13</v>
      </c>
      <c r="B27" s="6" t="s">
        <v>51</v>
      </c>
      <c r="C27" s="5" t="s">
        <v>40</v>
      </c>
      <c r="D27" s="5"/>
      <c r="E27" s="5"/>
      <c r="F27" s="5"/>
      <c r="G27" s="7">
        <v>13509</v>
      </c>
      <c r="H27" s="7">
        <v>269</v>
      </c>
      <c r="I27" s="7">
        <v>1354</v>
      </c>
      <c r="J27" s="8"/>
      <c r="K27" s="9"/>
      <c r="L27" s="9"/>
      <c r="M27" s="9"/>
    </row>
    <row r="28" spans="1:13" ht="15.75" customHeight="1" x14ac:dyDescent="0.2">
      <c r="A28" s="5">
        <v>14</v>
      </c>
      <c r="B28" s="6" t="s">
        <v>18</v>
      </c>
      <c r="C28" s="5" t="s">
        <v>40</v>
      </c>
      <c r="D28" s="5"/>
      <c r="E28" s="5"/>
      <c r="F28" s="5"/>
      <c r="G28" s="7">
        <v>46514</v>
      </c>
      <c r="H28" s="7">
        <v>3825</v>
      </c>
      <c r="I28" s="7">
        <v>3997</v>
      </c>
      <c r="J28" s="8"/>
      <c r="K28" s="9"/>
      <c r="L28" s="9"/>
      <c r="M28" s="9"/>
    </row>
    <row r="29" spans="1:13" ht="15.75" customHeight="1" x14ac:dyDescent="0.2">
      <c r="A29" s="5">
        <v>15</v>
      </c>
      <c r="B29" s="10" t="s">
        <v>60</v>
      </c>
      <c r="C29" s="5" t="s">
        <v>40</v>
      </c>
      <c r="D29" s="5"/>
      <c r="E29" s="5"/>
      <c r="F29" s="5"/>
      <c r="G29" s="7">
        <v>4289</v>
      </c>
      <c r="H29" s="7">
        <v>92</v>
      </c>
      <c r="I29" s="7">
        <v>226</v>
      </c>
      <c r="J29" s="8"/>
      <c r="K29" s="9"/>
      <c r="L29" s="9"/>
      <c r="M29" s="9"/>
    </row>
    <row r="30" spans="1:13" ht="15.75" customHeight="1" x14ac:dyDescent="0.2">
      <c r="A30" s="5">
        <v>16</v>
      </c>
      <c r="B30" s="10" t="s">
        <v>17</v>
      </c>
      <c r="C30" s="5" t="s">
        <v>40</v>
      </c>
      <c r="D30" s="5"/>
      <c r="E30" s="5"/>
      <c r="F30" s="5"/>
      <c r="G30" s="7">
        <v>57278</v>
      </c>
      <c r="H30" s="7">
        <f>33082+1855</f>
        <v>34937</v>
      </c>
      <c r="I30" s="7">
        <v>4654</v>
      </c>
      <c r="J30" s="8"/>
      <c r="K30" s="9"/>
      <c r="L30" s="9"/>
      <c r="M30" s="9"/>
    </row>
    <row r="31" spans="1:13" ht="15.75" customHeight="1" x14ac:dyDescent="0.2">
      <c r="A31" s="5">
        <v>17</v>
      </c>
      <c r="B31" s="10" t="s">
        <v>61</v>
      </c>
      <c r="C31" s="5" t="s">
        <v>40</v>
      </c>
      <c r="D31" s="5"/>
      <c r="E31" s="5"/>
      <c r="F31" s="5"/>
      <c r="G31" s="7">
        <v>6116</v>
      </c>
      <c r="H31" s="7">
        <v>547</v>
      </c>
      <c r="I31" s="7">
        <v>543</v>
      </c>
      <c r="J31" s="8"/>
      <c r="K31" s="9"/>
      <c r="L31" s="9"/>
      <c r="M31" s="9"/>
    </row>
    <row r="32" spans="1:13" ht="15.75" customHeight="1" x14ac:dyDescent="0.2">
      <c r="A32" s="5">
        <v>18</v>
      </c>
      <c r="B32" s="6" t="s">
        <v>41</v>
      </c>
      <c r="C32" s="5" t="s">
        <v>40</v>
      </c>
      <c r="D32" s="5"/>
      <c r="E32" s="5"/>
      <c r="F32" s="5"/>
      <c r="G32" s="7">
        <v>26369</v>
      </c>
      <c r="H32" s="7">
        <f>9840+795</f>
        <v>10635</v>
      </c>
      <c r="I32" s="7">
        <v>1569</v>
      </c>
      <c r="J32" s="8"/>
      <c r="K32" s="9"/>
      <c r="L32" s="9"/>
      <c r="M32" s="9"/>
    </row>
    <row r="33" spans="1:13" ht="15.75" customHeight="1" x14ac:dyDescent="0.2">
      <c r="A33" s="5">
        <v>19</v>
      </c>
      <c r="B33" s="6" t="s">
        <v>62</v>
      </c>
      <c r="C33" s="5" t="s">
        <v>40</v>
      </c>
      <c r="D33" s="5"/>
      <c r="E33" s="5"/>
      <c r="F33" s="5"/>
      <c r="G33" s="7">
        <v>14094</v>
      </c>
      <c r="H33" s="7">
        <f>71+124</f>
        <v>195</v>
      </c>
      <c r="I33" s="7">
        <v>1311</v>
      </c>
      <c r="J33" s="8"/>
      <c r="K33" s="9"/>
      <c r="L33" s="9"/>
      <c r="M33" s="9"/>
    </row>
    <row r="34" spans="1:13" ht="15.75" customHeight="1" x14ac:dyDescent="0.2">
      <c r="A34" s="5">
        <v>20</v>
      </c>
      <c r="B34" s="6" t="s">
        <v>49</v>
      </c>
      <c r="C34" s="5" t="s">
        <v>40</v>
      </c>
      <c r="D34" s="5"/>
      <c r="E34" s="5"/>
      <c r="F34" s="5"/>
      <c r="G34" s="7">
        <v>721</v>
      </c>
      <c r="H34" s="7"/>
      <c r="I34" s="7">
        <v>7</v>
      </c>
      <c r="J34" s="8"/>
      <c r="K34" s="9"/>
      <c r="L34" s="9"/>
      <c r="M34" s="9"/>
    </row>
    <row r="35" spans="1:13" ht="15.75" customHeight="1" x14ac:dyDescent="0.2">
      <c r="A35" s="5">
        <v>21</v>
      </c>
      <c r="B35" s="6" t="s">
        <v>20</v>
      </c>
      <c r="C35" s="5" t="s">
        <v>40</v>
      </c>
      <c r="D35" s="5"/>
      <c r="E35" s="5"/>
      <c r="F35" s="5"/>
      <c r="G35" s="7">
        <v>47719</v>
      </c>
      <c r="H35" s="7">
        <v>5046</v>
      </c>
      <c r="I35" s="7">
        <v>8010</v>
      </c>
      <c r="J35" s="8"/>
      <c r="K35" s="9"/>
      <c r="L35" s="9"/>
      <c r="M35" s="9"/>
    </row>
    <row r="36" spans="1:13" ht="15.75" customHeight="1" x14ac:dyDescent="0.2">
      <c r="A36" s="5">
        <v>22</v>
      </c>
      <c r="B36" s="6" t="s">
        <v>22</v>
      </c>
      <c r="C36" s="5" t="s">
        <v>40</v>
      </c>
      <c r="D36" s="5"/>
      <c r="E36" s="5"/>
      <c r="F36" s="5"/>
      <c r="G36" s="7">
        <v>86412</v>
      </c>
      <c r="H36" s="7">
        <f>43+18734</f>
        <v>18777</v>
      </c>
      <c r="I36" s="7">
        <v>8062</v>
      </c>
      <c r="J36" s="8"/>
      <c r="K36" s="9"/>
      <c r="L36" s="9"/>
      <c r="M36" s="9"/>
    </row>
    <row r="37" spans="1:13" ht="15.75" customHeight="1" x14ac:dyDescent="0.2">
      <c r="A37" s="5">
        <v>23</v>
      </c>
      <c r="B37" s="6" t="s">
        <v>55</v>
      </c>
      <c r="C37" s="5" t="s">
        <v>40</v>
      </c>
      <c r="D37" s="5"/>
      <c r="E37" s="5"/>
      <c r="F37" s="5"/>
      <c r="G37" s="7">
        <v>52878</v>
      </c>
      <c r="H37" s="7">
        <f>202+17445</f>
        <v>17647</v>
      </c>
      <c r="I37" s="7">
        <v>28125</v>
      </c>
      <c r="J37" s="8"/>
      <c r="K37" s="9"/>
      <c r="L37" s="9"/>
      <c r="M37" s="9"/>
    </row>
    <row r="38" spans="1:13" ht="15.75" customHeight="1" x14ac:dyDescent="0.2">
      <c r="A38" s="5">
        <v>24</v>
      </c>
      <c r="B38" s="6" t="s">
        <v>19</v>
      </c>
      <c r="C38" s="5" t="s">
        <v>40</v>
      </c>
      <c r="D38" s="5"/>
      <c r="E38" s="5"/>
      <c r="F38" s="5"/>
      <c r="G38" s="7">
        <v>26922</v>
      </c>
      <c r="H38" s="7">
        <f>11446+3775</f>
        <v>15221</v>
      </c>
      <c r="I38" s="7">
        <v>6210</v>
      </c>
      <c r="J38" s="8"/>
      <c r="K38" s="9"/>
      <c r="L38" s="9"/>
      <c r="M38" s="9"/>
    </row>
    <row r="39" spans="1:13" ht="15.75" customHeight="1" x14ac:dyDescent="0.2">
      <c r="A39" s="5">
        <v>25</v>
      </c>
      <c r="B39" s="6" t="s">
        <v>24</v>
      </c>
      <c r="C39" s="5" t="s">
        <v>40</v>
      </c>
      <c r="D39" s="5"/>
      <c r="E39" s="5"/>
      <c r="F39" s="5"/>
      <c r="G39" s="7">
        <v>70866</v>
      </c>
      <c r="H39" s="7">
        <f>1416+11516</f>
        <v>12932</v>
      </c>
      <c r="I39" s="7">
        <v>5845</v>
      </c>
      <c r="J39" s="8"/>
      <c r="K39" s="9"/>
      <c r="L39" s="9"/>
      <c r="M39" s="9"/>
    </row>
    <row r="40" spans="1:13" ht="15.75" customHeight="1" x14ac:dyDescent="0.2">
      <c r="A40" s="5">
        <v>26</v>
      </c>
      <c r="B40" s="6" t="s">
        <v>48</v>
      </c>
      <c r="C40" s="5" t="s">
        <v>40</v>
      </c>
      <c r="D40" s="5"/>
      <c r="E40" s="5"/>
      <c r="F40" s="5"/>
      <c r="G40" s="7">
        <v>3314</v>
      </c>
      <c r="H40" s="7"/>
      <c r="I40" s="7">
        <v>37</v>
      </c>
      <c r="J40" s="8"/>
      <c r="K40" s="9"/>
      <c r="L40" s="9"/>
      <c r="M40" s="9"/>
    </row>
    <row r="41" spans="1:13" ht="15.75" customHeight="1" x14ac:dyDescent="0.2">
      <c r="A41" s="5">
        <v>27</v>
      </c>
      <c r="B41" s="6" t="s">
        <v>42</v>
      </c>
      <c r="C41" s="5" t="s">
        <v>40</v>
      </c>
      <c r="D41" s="5"/>
      <c r="E41" s="5"/>
      <c r="F41" s="5"/>
      <c r="G41" s="7">
        <v>6732</v>
      </c>
      <c r="H41" s="7">
        <v>168</v>
      </c>
      <c r="I41" s="7">
        <v>658</v>
      </c>
      <c r="J41" s="8"/>
      <c r="K41" s="9"/>
      <c r="L41" s="9"/>
      <c r="M41" s="9"/>
    </row>
    <row r="42" spans="1:13" ht="15.75" customHeight="1" x14ac:dyDescent="0.2">
      <c r="A42" s="5">
        <v>28</v>
      </c>
      <c r="B42" s="6" t="s">
        <v>54</v>
      </c>
      <c r="C42" s="5" t="s">
        <v>40</v>
      </c>
      <c r="D42" s="5"/>
      <c r="E42" s="5"/>
      <c r="F42" s="5"/>
      <c r="G42" s="7">
        <v>6932</v>
      </c>
      <c r="H42" s="7">
        <v>1085</v>
      </c>
      <c r="I42" s="7">
        <v>544</v>
      </c>
      <c r="J42" s="8"/>
      <c r="K42" s="9"/>
      <c r="L42" s="9"/>
      <c r="M42" s="9"/>
    </row>
    <row r="43" spans="1:13" ht="15.75" customHeight="1" x14ac:dyDescent="0.2">
      <c r="A43" s="5">
        <v>29</v>
      </c>
      <c r="B43" s="6" t="s">
        <v>43</v>
      </c>
      <c r="C43" s="5" t="s">
        <v>40</v>
      </c>
      <c r="D43" s="5"/>
      <c r="E43" s="5"/>
      <c r="F43" s="5"/>
      <c r="G43" s="7">
        <v>7589</v>
      </c>
      <c r="H43" s="7">
        <v>5</v>
      </c>
      <c r="I43" s="7">
        <v>454</v>
      </c>
      <c r="J43" s="8"/>
      <c r="K43" s="9"/>
      <c r="L43" s="9"/>
      <c r="M43" s="9"/>
    </row>
    <row r="44" spans="1:13" ht="15.75" customHeight="1" x14ac:dyDescent="0.2">
      <c r="A44" s="5">
        <v>30</v>
      </c>
      <c r="B44" s="6" t="s">
        <v>63</v>
      </c>
      <c r="C44" s="5" t="s">
        <v>40</v>
      </c>
      <c r="D44" s="5"/>
      <c r="E44" s="5"/>
      <c r="F44" s="5"/>
      <c r="G44" s="7">
        <v>29846</v>
      </c>
      <c r="H44" s="7">
        <f>1021+2851</f>
        <v>3872</v>
      </c>
      <c r="I44" s="7">
        <v>6117</v>
      </c>
      <c r="J44" s="8"/>
      <c r="K44" s="9"/>
      <c r="L44" s="9"/>
      <c r="M44" s="9"/>
    </row>
    <row r="45" spans="1:13" ht="15.75" customHeight="1" x14ac:dyDescent="0.2">
      <c r="A45" s="5">
        <v>31</v>
      </c>
      <c r="B45" s="6" t="s">
        <v>64</v>
      </c>
      <c r="C45" s="5" t="s">
        <v>40</v>
      </c>
      <c r="D45" s="5"/>
      <c r="E45" s="5"/>
      <c r="F45" s="5"/>
      <c r="G45" s="7">
        <v>1522</v>
      </c>
      <c r="H45" s="7"/>
      <c r="I45" s="7">
        <v>133</v>
      </c>
      <c r="J45" s="8"/>
      <c r="K45" s="9"/>
      <c r="L45" s="9"/>
      <c r="M45" s="9"/>
    </row>
    <row r="46" spans="1:13" ht="15.75" customHeight="1" x14ac:dyDescent="0.2">
      <c r="A46" s="5">
        <v>32</v>
      </c>
      <c r="B46" s="10" t="s">
        <v>65</v>
      </c>
      <c r="C46" s="5" t="s">
        <v>40</v>
      </c>
      <c r="D46" s="5"/>
      <c r="E46" s="5"/>
      <c r="F46" s="5"/>
      <c r="G46" s="7">
        <v>44608</v>
      </c>
      <c r="H46" s="7">
        <f>3462+4753</f>
        <v>8215</v>
      </c>
      <c r="I46" s="7">
        <v>7407</v>
      </c>
      <c r="J46" s="8"/>
      <c r="K46" s="9"/>
      <c r="L46" s="9"/>
      <c r="M46" s="9"/>
    </row>
    <row r="47" spans="1:13" ht="15.75" customHeight="1" x14ac:dyDescent="0.2">
      <c r="A47" s="5">
        <v>33</v>
      </c>
      <c r="B47" s="10" t="s">
        <v>52</v>
      </c>
      <c r="C47" s="5" t="s">
        <v>40</v>
      </c>
      <c r="D47" s="5"/>
      <c r="E47" s="5"/>
      <c r="F47" s="5"/>
      <c r="G47" s="7">
        <v>17701</v>
      </c>
      <c r="H47" s="7">
        <v>1898</v>
      </c>
      <c r="I47" s="7">
        <v>3907</v>
      </c>
      <c r="J47" s="8"/>
      <c r="K47" s="9"/>
      <c r="L47" s="9"/>
      <c r="M47" s="9"/>
    </row>
    <row r="48" spans="1:13" ht="15.75" customHeight="1" x14ac:dyDescent="0.2">
      <c r="A48" s="5">
        <v>34</v>
      </c>
      <c r="B48" s="10" t="s">
        <v>21</v>
      </c>
      <c r="C48" s="5" t="s">
        <v>40</v>
      </c>
      <c r="D48" s="5"/>
      <c r="E48" s="5"/>
      <c r="F48" s="5"/>
      <c r="G48" s="7">
        <f>38964+111+254</f>
        <v>39329</v>
      </c>
      <c r="H48" s="7">
        <v>3048</v>
      </c>
      <c r="I48" s="7">
        <v>9393</v>
      </c>
      <c r="J48" s="8"/>
      <c r="K48" s="9"/>
      <c r="L48" s="9"/>
      <c r="M48" s="9"/>
    </row>
    <row r="49" spans="1:13" ht="15.75" customHeight="1" x14ac:dyDescent="0.2">
      <c r="A49" s="5">
        <v>35</v>
      </c>
      <c r="B49" s="10" t="s">
        <v>50</v>
      </c>
      <c r="C49" s="5" t="s">
        <v>40</v>
      </c>
      <c r="D49" s="5"/>
      <c r="E49" s="5"/>
      <c r="F49" s="5"/>
      <c r="G49" s="7">
        <v>6782</v>
      </c>
      <c r="H49" s="7">
        <v>610</v>
      </c>
      <c r="I49" s="7">
        <v>434</v>
      </c>
      <c r="J49" s="8"/>
      <c r="K49" s="9"/>
      <c r="L49" s="9"/>
      <c r="M49" s="9"/>
    </row>
    <row r="50" spans="1:13" ht="15.75" customHeight="1" x14ac:dyDescent="0.2">
      <c r="A50" s="5">
        <v>36</v>
      </c>
      <c r="B50" s="10" t="s">
        <v>23</v>
      </c>
      <c r="C50" s="5" t="s">
        <v>40</v>
      </c>
      <c r="D50" s="5"/>
      <c r="E50" s="5"/>
      <c r="F50" s="5"/>
      <c r="G50" s="7">
        <v>19311</v>
      </c>
      <c r="H50" s="7">
        <v>1372</v>
      </c>
      <c r="I50" s="7">
        <v>4418</v>
      </c>
      <c r="J50" s="8"/>
      <c r="K50" s="9"/>
      <c r="L50" s="9"/>
      <c r="M50" s="9"/>
    </row>
    <row r="51" spans="1:13" ht="15.75" customHeight="1" x14ac:dyDescent="0.2">
      <c r="A51" s="5">
        <v>37</v>
      </c>
      <c r="B51" s="10" t="s">
        <v>44</v>
      </c>
      <c r="C51" s="5" t="s">
        <v>40</v>
      </c>
      <c r="D51" s="5"/>
      <c r="E51" s="5"/>
      <c r="F51" s="5"/>
      <c r="G51" s="7">
        <v>8487</v>
      </c>
      <c r="H51" s="7"/>
      <c r="I51" s="7">
        <v>475</v>
      </c>
      <c r="J51" s="8"/>
      <c r="K51" s="9"/>
      <c r="L51" s="9"/>
      <c r="M51" s="9"/>
    </row>
    <row r="52" spans="1:13" ht="13.5" customHeight="1" x14ac:dyDescent="0.2">
      <c r="A52" s="16" t="s">
        <v>4</v>
      </c>
      <c r="B52" s="16"/>
      <c r="C52" s="11" t="s">
        <v>40</v>
      </c>
      <c r="D52" s="12" t="s">
        <v>66</v>
      </c>
      <c r="E52" s="12" t="s">
        <v>66</v>
      </c>
      <c r="F52" s="12" t="s">
        <v>66</v>
      </c>
      <c r="G52" s="12">
        <f>SUM(G15:G51)</f>
        <v>851512</v>
      </c>
      <c r="H52" s="12">
        <f t="shared" ref="H52:I52" si="0">SUM(H15:H51)</f>
        <v>179315</v>
      </c>
      <c r="I52" s="12">
        <f t="shared" si="0"/>
        <v>164832</v>
      </c>
    </row>
    <row r="53" spans="1:13" x14ac:dyDescent="0.2">
      <c r="G53" s="13"/>
      <c r="H53" s="13"/>
      <c r="I53" s="13"/>
      <c r="J53" s="8"/>
    </row>
    <row r="54" spans="1:13" x14ac:dyDescent="0.2">
      <c r="G54" s="13"/>
      <c r="H54" s="13"/>
      <c r="I54" s="13"/>
    </row>
    <row r="58" spans="1:13" x14ac:dyDescent="0.2">
      <c r="C58" s="14"/>
      <c r="D58" s="14"/>
      <c r="E58" s="14"/>
      <c r="F58" s="14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2020</vt:lpstr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econ06</cp:lastModifiedBy>
  <cp:lastPrinted>2020-10-20T14:41:55Z</cp:lastPrinted>
  <dcterms:created xsi:type="dcterms:W3CDTF">2010-03-12T06:02:23Z</dcterms:created>
  <dcterms:modified xsi:type="dcterms:W3CDTF">2021-01-18T11:28:45Z</dcterms:modified>
</cp:coreProperties>
</file>